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Documents\ARTICLES_MEUS\2024__Nature_Comm\06__Nature_Comm__version_5\"/>
    </mc:Choice>
  </mc:AlternateContent>
  <bookViews>
    <workbookView xWindow="0" yWindow="0" windowWidth="28800" windowHeight="11610" tabRatio="599"/>
  </bookViews>
  <sheets>
    <sheet name="Supp. Data 1" sheetId="9" r:id="rId1"/>
    <sheet name=" Refs. in Supp. Data 1" sheetId="8" r:id="rId2"/>
    <sheet name="Supp. Data 2" sheetId="2" r:id="rId3"/>
    <sheet name="Calculations of Supp. Data 2" sheetId="13" r:id="rId4"/>
    <sheet name="Supp. Data 3" sheetId="6" r:id="rId5"/>
    <sheet name="Supp. Data 4" sheetId="4" r:id="rId6"/>
    <sheet name="Calculations of Supp. Data 4" sheetId="12" r:id="rId7"/>
    <sheet name="Supp. Data 5" sheetId="14" r:id="rId8"/>
    <sheet name="Refs. in Supp. Data 5" sheetId="15" r:id="rId9"/>
    <sheet name="Supp. Data 6" sheetId="17" r:id="rId10"/>
    <sheet name="Supp. Data 7" sheetId="18" r:id="rId11"/>
    <sheet name="Supp. Data 8" sheetId="19" r:id="rId12"/>
  </sheets>
  <definedNames>
    <definedName name="_xlnm._FilterDatabase" localSheetId="0" hidden="1">'Supp. Data 1'!#REF!</definedName>
  </definedNames>
  <calcPr calcId="162913"/>
</workbook>
</file>

<file path=xl/calcChain.xml><?xml version="1.0" encoding="utf-8"?>
<calcChain xmlns="http://schemas.openxmlformats.org/spreadsheetml/2006/main">
  <c r="L9" i="4" l="1"/>
  <c r="M9" i="4"/>
  <c r="L10" i="4"/>
  <c r="M10" i="4"/>
  <c r="L11" i="4"/>
  <c r="M11" i="4"/>
  <c r="L12" i="4"/>
  <c r="M12" i="4"/>
  <c r="L13" i="4"/>
  <c r="M13" i="4"/>
  <c r="L14" i="4"/>
  <c r="M14" i="4"/>
  <c r="L15" i="4"/>
  <c r="M15" i="4"/>
  <c r="L16" i="4"/>
  <c r="M16" i="4"/>
  <c r="L17" i="4"/>
  <c r="M17" i="4"/>
  <c r="L18" i="4"/>
  <c r="M18" i="4"/>
  <c r="L19" i="4"/>
  <c r="M19" i="4"/>
  <c r="L20" i="4"/>
  <c r="M20" i="4"/>
  <c r="L21" i="4"/>
  <c r="M21" i="4"/>
  <c r="L22" i="4"/>
  <c r="M22" i="4"/>
  <c r="L23" i="4"/>
  <c r="M23" i="4"/>
  <c r="AE31" i="18" l="1"/>
  <c r="AE32" i="18"/>
  <c r="AE33" i="18"/>
  <c r="AE34" i="18"/>
  <c r="AE35" i="18"/>
  <c r="AE36" i="18"/>
  <c r="AE30" i="18"/>
  <c r="C62" i="18" l="1"/>
  <c r="C38" i="18" l="1"/>
  <c r="C37" i="18"/>
  <c r="D30" i="17" l="1"/>
  <c r="C51" i="17" l="1"/>
  <c r="C32" i="17"/>
  <c r="D49" i="17"/>
  <c r="D50" i="17"/>
  <c r="D48" i="17"/>
  <c r="D42" i="17"/>
  <c r="D43" i="17"/>
  <c r="D44" i="17"/>
  <c r="D45" i="17"/>
  <c r="D41" i="17"/>
  <c r="E24" i="19" l="1"/>
  <c r="E25" i="19"/>
  <c r="E26" i="19"/>
  <c r="E27" i="19"/>
  <c r="E28" i="19"/>
  <c r="E29" i="19"/>
  <c r="E23" i="19"/>
  <c r="I31" i="19"/>
  <c r="C20" i="18" l="1"/>
  <c r="E1309" i="9" l="1"/>
  <c r="D1309" i="9"/>
  <c r="A11" i="17" l="1"/>
  <c r="A12" i="17" s="1"/>
  <c r="A13" i="17" s="1"/>
  <c r="A14" i="17" s="1"/>
  <c r="A15" i="17" s="1"/>
  <c r="A16" i="17" s="1"/>
  <c r="A17" i="17" s="1"/>
  <c r="A18" i="17" s="1"/>
  <c r="A19" i="17" s="1"/>
  <c r="A20" i="17" s="1"/>
  <c r="A21" i="17" s="1"/>
  <c r="A22" i="17" s="1"/>
  <c r="A23" i="17" s="1"/>
  <c r="A24" i="17" s="1"/>
  <c r="A25" i="17" s="1"/>
  <c r="A26" i="17" s="1"/>
  <c r="A27" i="17" s="1"/>
  <c r="D31" i="17" l="1"/>
  <c r="D29" i="17"/>
  <c r="D28" i="17"/>
  <c r="D46" i="17"/>
  <c r="D27" i="17"/>
  <c r="D26" i="17"/>
  <c r="D25" i="17"/>
  <c r="D24" i="17"/>
  <c r="D23" i="17"/>
  <c r="D22" i="17"/>
  <c r="D21" i="17"/>
  <c r="D20" i="17"/>
  <c r="D19" i="17"/>
  <c r="D18" i="17"/>
  <c r="D17" i="17"/>
  <c r="D16" i="17"/>
  <c r="D15" i="17"/>
  <c r="D13" i="17"/>
  <c r="D12" i="17"/>
  <c r="D11" i="17"/>
  <c r="D10" i="17"/>
  <c r="G1278" i="9" l="1"/>
  <c r="F1278" i="9" s="1"/>
  <c r="H1278" i="9"/>
  <c r="F1272" i="9"/>
  <c r="C23" i="6"/>
  <c r="B23" i="6"/>
  <c r="H22" i="6"/>
  <c r="H21" i="6"/>
  <c r="H20" i="6"/>
  <c r="H19" i="6"/>
  <c r="H18" i="6"/>
  <c r="H17" i="6"/>
  <c r="H16" i="6"/>
  <c r="H15" i="6"/>
  <c r="H14" i="6"/>
  <c r="H13" i="6"/>
  <c r="H12" i="6"/>
  <c r="H11" i="6"/>
  <c r="H10" i="6"/>
  <c r="H9" i="6"/>
  <c r="H8" i="6"/>
  <c r="H7" i="6"/>
  <c r="G22" i="6"/>
  <c r="G21" i="6"/>
  <c r="G20" i="6"/>
  <c r="G19" i="6"/>
  <c r="G18" i="6"/>
  <c r="G17" i="6"/>
  <c r="G16" i="6"/>
  <c r="G15" i="6"/>
  <c r="G14" i="6"/>
  <c r="G13" i="6"/>
  <c r="G12" i="6"/>
  <c r="G11" i="6"/>
  <c r="G10" i="6"/>
  <c r="G9" i="6"/>
  <c r="G8" i="6"/>
  <c r="G7" i="6"/>
  <c r="D8" i="6"/>
  <c r="D9" i="6"/>
  <c r="D10" i="6"/>
  <c r="D11" i="6"/>
  <c r="D12" i="6"/>
  <c r="D13" i="6"/>
  <c r="D14" i="6"/>
  <c r="D15" i="6"/>
  <c r="D16" i="6"/>
  <c r="D17" i="6"/>
  <c r="D18" i="6"/>
  <c r="D19" i="6"/>
  <c r="D20" i="6"/>
  <c r="D21" i="6"/>
  <c r="D22" i="6"/>
  <c r="D7" i="6"/>
  <c r="R25" i="12"/>
  <c r="K25" i="12"/>
  <c r="J25" i="12"/>
  <c r="I25" i="12"/>
  <c r="H25" i="12"/>
  <c r="G25" i="12"/>
  <c r="F25" i="12"/>
  <c r="N23" i="4"/>
  <c r="O23" i="4"/>
  <c r="O22" i="4"/>
  <c r="N22" i="4"/>
  <c r="R22" i="12"/>
  <c r="G22" i="12"/>
  <c r="H22" i="12"/>
  <c r="I22" i="12"/>
  <c r="K22" i="12"/>
  <c r="G23" i="12"/>
  <c r="H23" i="12"/>
  <c r="I23" i="12"/>
  <c r="K23" i="12"/>
  <c r="G24" i="12"/>
  <c r="H24" i="12"/>
  <c r="I24" i="12"/>
  <c r="K24" i="12"/>
  <c r="F22" i="12"/>
  <c r="J22" i="12"/>
  <c r="F23" i="12"/>
  <c r="J23" i="12"/>
  <c r="F24" i="12"/>
  <c r="J24" i="12"/>
  <c r="D12" i="12"/>
  <c r="D13" i="12"/>
  <c r="D14" i="12"/>
  <c r="D21" i="12"/>
  <c r="D22" i="12"/>
  <c r="D23" i="12"/>
  <c r="D24" i="12"/>
  <c r="N20" i="4"/>
  <c r="O21" i="4"/>
  <c r="O20" i="4"/>
  <c r="N21" i="4"/>
  <c r="N18" i="4"/>
  <c r="N12" i="4"/>
  <c r="O12" i="4"/>
  <c r="O11" i="4"/>
  <c r="N11" i="4"/>
  <c r="N17" i="4"/>
  <c r="R23" i="12"/>
  <c r="R24" i="12"/>
  <c r="F860" i="9"/>
  <c r="F861" i="9"/>
  <c r="F862" i="9"/>
  <c r="F863" i="9"/>
  <c r="F864" i="9"/>
  <c r="F865" i="9"/>
  <c r="F866" i="9"/>
  <c r="F867" i="9"/>
  <c r="F945" i="9" s="1"/>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E945" i="9"/>
  <c r="D945" i="9"/>
  <c r="R12" i="12"/>
  <c r="G12" i="12"/>
  <c r="H12" i="12"/>
  <c r="I12" i="12"/>
  <c r="F12" i="12"/>
  <c r="J12" i="12"/>
  <c r="K12" i="12"/>
  <c r="F17" i="6"/>
  <c r="F18" i="6"/>
  <c r="F19" i="6"/>
  <c r="F20" i="6"/>
  <c r="F21" i="6"/>
  <c r="F22" i="6"/>
  <c r="E17" i="6"/>
  <c r="E18" i="6"/>
  <c r="E19" i="6"/>
  <c r="E20" i="6"/>
  <c r="E21" i="6"/>
  <c r="E22" i="6"/>
  <c r="F8" i="6"/>
  <c r="F9" i="6"/>
  <c r="F10" i="6"/>
  <c r="F11" i="6"/>
  <c r="F12" i="6"/>
  <c r="F13" i="6"/>
  <c r="F14" i="6"/>
  <c r="F15" i="6"/>
  <c r="F16" i="6"/>
  <c r="F7" i="6"/>
  <c r="E8" i="6"/>
  <c r="E9" i="6"/>
  <c r="E10" i="6"/>
  <c r="E11" i="6"/>
  <c r="E12" i="6"/>
  <c r="E13" i="6"/>
  <c r="E14" i="6"/>
  <c r="E15" i="6"/>
  <c r="E16" i="6"/>
  <c r="E7" i="6"/>
  <c r="S20" i="13"/>
  <c r="S21" i="13"/>
  <c r="S22" i="13"/>
  <c r="S23" i="13"/>
  <c r="S24" i="13"/>
  <c r="S19" i="13"/>
  <c r="P20" i="13"/>
  <c r="P21" i="13"/>
  <c r="P22" i="13"/>
  <c r="P23" i="13"/>
  <c r="P24" i="13"/>
  <c r="P19" i="13"/>
  <c r="R15" i="12"/>
  <c r="R17" i="12"/>
  <c r="R18" i="12"/>
  <c r="R19" i="12"/>
  <c r="R20" i="12"/>
  <c r="R16" i="12"/>
  <c r="G16" i="2"/>
  <c r="G17" i="2"/>
  <c r="G18" i="2"/>
  <c r="G19" i="2"/>
  <c r="G20" i="2"/>
  <c r="G21" i="2"/>
  <c r="G7" i="2"/>
  <c r="G8" i="2"/>
  <c r="G9" i="2"/>
  <c r="G10" i="2"/>
  <c r="G11" i="2"/>
  <c r="G12" i="2"/>
  <c r="G13" i="2"/>
  <c r="G14" i="2"/>
  <c r="G15" i="2"/>
  <c r="D10" i="2"/>
  <c r="G6" i="2"/>
  <c r="D15" i="2"/>
  <c r="D7" i="2"/>
  <c r="D8" i="2"/>
  <c r="D9" i="2"/>
  <c r="D11" i="2"/>
  <c r="D12" i="2"/>
  <c r="D13" i="2"/>
  <c r="D14" i="2"/>
  <c r="S17" i="13"/>
  <c r="H17" i="13"/>
  <c r="G17" i="13"/>
  <c r="I17" i="13"/>
  <c r="L17" i="13"/>
  <c r="F17" i="13"/>
  <c r="K17" i="13"/>
  <c r="D17" i="13"/>
  <c r="D9" i="13"/>
  <c r="H10" i="13"/>
  <c r="H11" i="13"/>
  <c r="H12" i="13"/>
  <c r="H13" i="13"/>
  <c r="H14" i="13"/>
  <c r="H15" i="13"/>
  <c r="H16" i="13"/>
  <c r="H18" i="13"/>
  <c r="G10" i="13"/>
  <c r="G11" i="13"/>
  <c r="G12" i="13"/>
  <c r="G13" i="13"/>
  <c r="G14" i="13"/>
  <c r="G15" i="13"/>
  <c r="G16" i="13"/>
  <c r="G18" i="13"/>
  <c r="F18" i="13"/>
  <c r="F16" i="13"/>
  <c r="K16" i="13"/>
  <c r="F15" i="13"/>
  <c r="K15" i="13"/>
  <c r="F14" i="13"/>
  <c r="K14" i="13"/>
  <c r="F13" i="13"/>
  <c r="K13" i="13"/>
  <c r="F12" i="13"/>
  <c r="F11" i="13"/>
  <c r="K11" i="13"/>
  <c r="F10" i="13"/>
  <c r="F9" i="13"/>
  <c r="J17" i="13"/>
  <c r="I16" i="13"/>
  <c r="L16" i="13"/>
  <c r="I11" i="13"/>
  <c r="J11" i="13"/>
  <c r="I18" i="13"/>
  <c r="L18" i="13"/>
  <c r="I10" i="13"/>
  <c r="L10" i="13"/>
  <c r="I15" i="13"/>
  <c r="L15" i="13"/>
  <c r="I14" i="13"/>
  <c r="L14" i="13"/>
  <c r="I13" i="13"/>
  <c r="L13" i="13"/>
  <c r="I12" i="13"/>
  <c r="L12" i="13"/>
  <c r="J16" i="13"/>
  <c r="K12" i="13"/>
  <c r="K18" i="13"/>
  <c r="K10" i="13"/>
  <c r="D10" i="13"/>
  <c r="D11" i="13"/>
  <c r="D12" i="13"/>
  <c r="D13" i="13"/>
  <c r="D14" i="13"/>
  <c r="D15" i="13"/>
  <c r="D16" i="13"/>
  <c r="D18" i="13"/>
  <c r="S13" i="13"/>
  <c r="S14" i="13"/>
  <c r="S15" i="13"/>
  <c r="S16" i="13"/>
  <c r="S18" i="13"/>
  <c r="J15" i="13"/>
  <c r="J10" i="13"/>
  <c r="J18" i="13"/>
  <c r="L11" i="13"/>
  <c r="J14" i="13"/>
  <c r="J13" i="13"/>
  <c r="J12" i="13"/>
  <c r="E1319" i="9"/>
  <c r="D1319" i="9"/>
  <c r="E638" i="9"/>
  <c r="D638" i="9"/>
  <c r="E1074" i="9"/>
  <c r="D1074" i="9"/>
  <c r="F1073" i="9"/>
  <c r="F1072" i="9"/>
  <c r="F1071" i="9"/>
  <c r="F1070" i="9"/>
  <c r="F1069" i="9"/>
  <c r="F1068" i="9"/>
  <c r="F1067" i="9"/>
  <c r="F1066" i="9"/>
  <c r="F1065" i="9"/>
  <c r="F1064" i="9"/>
  <c r="F1063" i="9"/>
  <c r="F1062" i="9"/>
  <c r="F1061" i="9"/>
  <c r="F1074" i="9" s="1"/>
  <c r="F1060" i="9"/>
  <c r="E166" i="9"/>
  <c r="D166" i="9"/>
  <c r="D1126" i="9"/>
  <c r="E1126" i="9"/>
  <c r="E183" i="9"/>
  <c r="E182" i="9"/>
  <c r="E201" i="9"/>
  <c r="D183" i="9"/>
  <c r="D182" i="9"/>
  <c r="D201" i="9"/>
  <c r="E1034" i="9"/>
  <c r="D1034" i="9"/>
  <c r="E378" i="9"/>
  <c r="D378" i="9"/>
  <c r="E827" i="9"/>
  <c r="D827" i="9"/>
  <c r="E146" i="9"/>
  <c r="D146" i="9"/>
  <c r="D86" i="9"/>
  <c r="E86" i="9"/>
  <c r="F982" i="9"/>
  <c r="F983" i="9"/>
  <c r="F984" i="9"/>
  <c r="F985" i="9"/>
  <c r="F986" i="9"/>
  <c r="F988" i="9"/>
  <c r="F987" i="9"/>
  <c r="F981" i="9"/>
  <c r="F980" i="9"/>
  <c r="F979" i="9"/>
  <c r="E30" i="9"/>
  <c r="D30" i="9"/>
  <c r="F131" i="9"/>
  <c r="F132" i="9"/>
  <c r="F91" i="9"/>
  <c r="F92" i="9"/>
  <c r="F93" i="9"/>
  <c r="F94" i="9"/>
  <c r="F95" i="9"/>
  <c r="F96" i="9"/>
  <c r="F97" i="9"/>
  <c r="F98" i="9"/>
  <c r="F99" i="9"/>
  <c r="F100" i="9"/>
  <c r="F101" i="9"/>
  <c r="F102" i="9"/>
  <c r="F103" i="9"/>
  <c r="F104" i="9"/>
  <c r="F105" i="9"/>
  <c r="F106" i="9"/>
  <c r="F107" i="9"/>
  <c r="F108" i="9"/>
  <c r="F109" i="9"/>
  <c r="F110" i="9"/>
  <c r="F112" i="9"/>
  <c r="F113" i="9"/>
  <c r="F114" i="9"/>
  <c r="F115" i="9"/>
  <c r="F116" i="9"/>
  <c r="F117" i="9"/>
  <c r="F40" i="9"/>
  <c r="F41" i="9"/>
  <c r="F42" i="9"/>
  <c r="F43" i="9"/>
  <c r="F44" i="9"/>
  <c r="F45" i="9"/>
  <c r="F46" i="9"/>
  <c r="F47" i="9"/>
  <c r="F48" i="9"/>
  <c r="F49" i="9"/>
  <c r="F50" i="9"/>
  <c r="F51" i="9"/>
  <c r="F52" i="9"/>
  <c r="F53" i="9"/>
  <c r="F90" i="9"/>
  <c r="F134" i="9"/>
  <c r="F135" i="9"/>
  <c r="F136" i="9"/>
  <c r="F137" i="9"/>
  <c r="F138" i="9"/>
  <c r="F139" i="9"/>
  <c r="F140" i="9"/>
  <c r="F141" i="9"/>
  <c r="F142" i="9"/>
  <c r="F144" i="9"/>
  <c r="F145" i="9"/>
  <c r="F143" i="9"/>
  <c r="F133" i="9"/>
  <c r="F130" i="9"/>
  <c r="F29" i="9"/>
  <c r="F185" i="9"/>
  <c r="F186" i="9"/>
  <c r="F187" i="9"/>
  <c r="F188" i="9"/>
  <c r="F189" i="9"/>
  <c r="F184" i="9"/>
  <c r="F27" i="9"/>
  <c r="F28" i="9"/>
  <c r="F1318" i="9"/>
  <c r="F1317" i="9"/>
  <c r="F1319" i="9"/>
  <c r="F824" i="9"/>
  <c r="F825" i="9"/>
  <c r="F826" i="9"/>
  <c r="F163" i="9"/>
  <c r="F158" i="9"/>
  <c r="F165" i="9"/>
  <c r="F159" i="9"/>
  <c r="F160" i="9"/>
  <c r="F161" i="9"/>
  <c r="F162" i="9"/>
  <c r="F164" i="9"/>
  <c r="F1329" i="9"/>
  <c r="F1330" i="9" s="1"/>
  <c r="E1330" i="9"/>
  <c r="D1330" i="9"/>
  <c r="F22" i="9"/>
  <c r="F23" i="9"/>
  <c r="F24" i="9"/>
  <c r="F25" i="9"/>
  <c r="F21" i="9"/>
  <c r="H26" i="9"/>
  <c r="F26" i="9" s="1"/>
  <c r="G26" i="9"/>
  <c r="H505" i="9"/>
  <c r="G505" i="9"/>
  <c r="F453" i="14"/>
  <c r="H422" i="14"/>
  <c r="G422" i="14"/>
  <c r="H423" i="14"/>
  <c r="G423" i="14"/>
  <c r="H452" i="14"/>
  <c r="G452" i="14"/>
  <c r="H125" i="9"/>
  <c r="G125" i="9"/>
  <c r="H1088" i="9"/>
  <c r="G1088" i="9"/>
  <c r="F192" i="9"/>
  <c r="F193" i="9"/>
  <c r="F194" i="9"/>
  <c r="F195" i="9"/>
  <c r="F196" i="9"/>
  <c r="F197" i="9"/>
  <c r="F198" i="9"/>
  <c r="F191" i="9"/>
  <c r="H1090" i="9"/>
  <c r="G1090" i="9"/>
  <c r="H1089" i="9"/>
  <c r="G1089" i="9"/>
  <c r="F55" i="9"/>
  <c r="F56" i="9"/>
  <c r="F57" i="9"/>
  <c r="F58" i="9"/>
  <c r="F59" i="9"/>
  <c r="F60" i="9"/>
  <c r="F61" i="9"/>
  <c r="F62" i="9"/>
  <c r="F63" i="9"/>
  <c r="F54" i="9"/>
  <c r="F79" i="9"/>
  <c r="F80" i="9"/>
  <c r="F81" i="9"/>
  <c r="F82" i="9"/>
  <c r="F83" i="9"/>
  <c r="F84" i="9"/>
  <c r="F85" i="9"/>
  <c r="F64" i="9"/>
  <c r="F66" i="9"/>
  <c r="F67" i="9"/>
  <c r="F68" i="9"/>
  <c r="F69" i="9"/>
  <c r="F70" i="9"/>
  <c r="F72" i="9"/>
  <c r="F75" i="9"/>
  <c r="F76" i="9"/>
  <c r="F77" i="9"/>
  <c r="F78" i="9"/>
  <c r="F604" i="9"/>
  <c r="F605" i="9"/>
  <c r="F606" i="9"/>
  <c r="F600" i="9"/>
  <c r="F601" i="9"/>
  <c r="F602" i="9"/>
  <c r="F603" i="9"/>
  <c r="F596" i="9"/>
  <c r="F597" i="9"/>
  <c r="F598" i="9"/>
  <c r="F599" i="9"/>
  <c r="F607" i="9"/>
  <c r="F592" i="9"/>
  <c r="F593" i="9"/>
  <c r="F594" i="9"/>
  <c r="F595" i="9"/>
  <c r="F584" i="9"/>
  <c r="F583" i="9"/>
  <c r="F582" i="9"/>
  <c r="F581" i="9"/>
  <c r="F580" i="9"/>
  <c r="F579" i="9"/>
  <c r="F578" i="9"/>
  <c r="F577" i="9"/>
  <c r="F576" i="9"/>
  <c r="F1031" i="9"/>
  <c r="F1032" i="9"/>
  <c r="F328" i="9"/>
  <c r="F296" i="9"/>
  <c r="F295" i="9"/>
  <c r="F325" i="9"/>
  <c r="F322" i="9"/>
  <c r="F302" i="9"/>
  <c r="F310" i="9"/>
  <c r="F305" i="9"/>
  <c r="F971" i="9"/>
  <c r="F969" i="9"/>
  <c r="F970" i="9"/>
  <c r="F967" i="9"/>
  <c r="F1034" i="9" s="1"/>
  <c r="F319" i="9"/>
  <c r="F320" i="9"/>
  <c r="F321" i="9"/>
  <c r="F323" i="9"/>
  <c r="F324" i="9"/>
  <c r="F326" i="9"/>
  <c r="F327" i="9"/>
  <c r="F318" i="9"/>
  <c r="F317" i="9"/>
  <c r="F316" i="9"/>
  <c r="F294" i="9"/>
  <c r="F293" i="9"/>
  <c r="F315" i="9"/>
  <c r="F314" i="9"/>
  <c r="F313" i="9"/>
  <c r="F292" i="9"/>
  <c r="F291" i="9"/>
  <c r="F290" i="9"/>
  <c r="F303" i="9"/>
  <c r="F304" i="9"/>
  <c r="F306" i="9"/>
  <c r="F307" i="9"/>
  <c r="F308" i="9"/>
  <c r="F309" i="9"/>
  <c r="F311" i="9"/>
  <c r="F312" i="9"/>
  <c r="F329" i="9"/>
  <c r="F268" i="9"/>
  <c r="F265" i="9"/>
  <c r="F297" i="9"/>
  <c r="F257" i="9"/>
  <c r="F365" i="9"/>
  <c r="F364" i="9"/>
  <c r="F363" i="9"/>
  <c r="F286" i="9"/>
  <c r="F283" i="9"/>
  <c r="F284" i="9"/>
  <c r="F282" i="9"/>
  <c r="F264" i="9"/>
  <c r="F271" i="9"/>
  <c r="F272" i="9"/>
  <c r="F263" i="9"/>
  <c r="F285" i="9"/>
  <c r="F452" i="9"/>
  <c r="F425" i="9"/>
  <c r="F426" i="9"/>
  <c r="F427" i="9"/>
  <c r="F428" i="9"/>
  <c r="F429" i="9"/>
  <c r="F430" i="9"/>
  <c r="F431" i="9"/>
  <c r="F432" i="9"/>
  <c r="F433" i="9"/>
  <c r="F434" i="9"/>
  <c r="F435" i="9"/>
  <c r="F436" i="9"/>
  <c r="F437" i="9"/>
  <c r="F438" i="9"/>
  <c r="F439" i="9"/>
  <c r="F440" i="9"/>
  <c r="F441" i="9"/>
  <c r="F442" i="9"/>
  <c r="F443" i="9"/>
  <c r="F444" i="9"/>
  <c r="F445" i="9"/>
  <c r="F446" i="9"/>
  <c r="F447" i="9"/>
  <c r="F448" i="9"/>
  <c r="F453" i="9"/>
  <c r="F449" i="9"/>
  <c r="F451" i="9"/>
  <c r="F450" i="9"/>
  <c r="F454" i="9"/>
  <c r="F455" i="9"/>
  <c r="F456" i="9"/>
  <c r="F457" i="9"/>
  <c r="F458" i="9"/>
  <c r="F460" i="9"/>
  <c r="F461" i="9"/>
  <c r="F462" i="9"/>
  <c r="F464" i="9"/>
  <c r="F465" i="9"/>
  <c r="F459" i="9"/>
  <c r="F463"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6" i="9"/>
  <c r="F507" i="9"/>
  <c r="F508" i="9"/>
  <c r="F509" i="9"/>
  <c r="F510" i="9"/>
  <c r="F511" i="9"/>
  <c r="F512" i="9"/>
  <c r="F513"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7" i="9"/>
  <c r="F548" i="9"/>
  <c r="F549" i="9"/>
  <c r="F551" i="9"/>
  <c r="F552" i="9"/>
  <c r="F553" i="9"/>
  <c r="F554" i="9"/>
  <c r="F555" i="9"/>
  <c r="F556" i="9"/>
  <c r="F557" i="9"/>
  <c r="F558" i="9"/>
  <c r="F559" i="9"/>
  <c r="F560" i="9"/>
  <c r="F424" i="9"/>
  <c r="F415" i="9"/>
  <c r="F416" i="9"/>
  <c r="F417" i="9"/>
  <c r="F418" i="9"/>
  <c r="F419" i="9"/>
  <c r="F420" i="9"/>
  <c r="F421" i="9"/>
  <c r="F422" i="9"/>
  <c r="F423" i="9"/>
  <c r="F412" i="9"/>
  <c r="F413" i="9"/>
  <c r="F414" i="9"/>
  <c r="F411" i="9"/>
  <c r="F410"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382" i="9"/>
  <c r="E561" i="9"/>
  <c r="D561" i="9"/>
  <c r="E776" i="9"/>
  <c r="D776"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43" i="9"/>
  <c r="H725" i="9"/>
  <c r="G725" i="9"/>
  <c r="F680" i="9"/>
  <c r="F376" i="9"/>
  <c r="F375" i="9"/>
  <c r="F1186" i="9"/>
  <c r="F1187" i="9"/>
  <c r="F1185" i="9"/>
  <c r="F1324" i="9"/>
  <c r="F1325" i="9" s="1"/>
  <c r="E1325" i="9"/>
  <c r="D1325" i="9"/>
  <c r="F775" i="9"/>
  <c r="G544" i="9"/>
  <c r="G546" i="9"/>
  <c r="H544" i="9"/>
  <c r="H546" i="9"/>
  <c r="H543" i="9"/>
  <c r="H545" i="9" s="1"/>
  <c r="F545" i="9" s="1"/>
  <c r="G543" i="9"/>
  <c r="H514" i="9"/>
  <c r="G514" i="9"/>
  <c r="F724" i="9"/>
  <c r="F726" i="9"/>
  <c r="F727" i="9"/>
  <c r="F728" i="9"/>
  <c r="F729" i="9"/>
  <c r="F730" i="9"/>
  <c r="F731" i="9"/>
  <c r="F732" i="9"/>
  <c r="F734" i="9"/>
  <c r="H550" i="9"/>
  <c r="G550" i="9"/>
  <c r="F719" i="9"/>
  <c r="F715" i="9"/>
  <c r="F709" i="9"/>
  <c r="F710" i="9"/>
  <c r="F708" i="9"/>
  <c r="F702" i="9"/>
  <c r="F701" i="9"/>
  <c r="H698" i="9"/>
  <c r="G698" i="9"/>
  <c r="F698" i="9" s="1"/>
  <c r="F690" i="9"/>
  <c r="F691" i="9"/>
  <c r="F692" i="9"/>
  <c r="F693" i="9"/>
  <c r="F694" i="9"/>
  <c r="F695" i="9"/>
  <c r="F696" i="9"/>
  <c r="F697" i="9"/>
  <c r="F689" i="9"/>
  <c r="F745" i="9"/>
  <c r="F772" i="9"/>
  <c r="F771" i="9"/>
  <c r="F770" i="9"/>
  <c r="F769" i="9"/>
  <c r="F767" i="9"/>
  <c r="F768" i="9"/>
  <c r="F746" i="9"/>
  <c r="F747" i="9"/>
  <c r="F748" i="9"/>
  <c r="F749" i="9"/>
  <c r="F750" i="9"/>
  <c r="F751" i="9"/>
  <c r="F752" i="9"/>
  <c r="F753" i="9"/>
  <c r="F754" i="9"/>
  <c r="F755" i="9"/>
  <c r="F756" i="9"/>
  <c r="F757" i="9"/>
  <c r="F758" i="9"/>
  <c r="F759" i="9"/>
  <c r="F760" i="9"/>
  <c r="F761" i="9"/>
  <c r="F762" i="9"/>
  <c r="F763" i="9"/>
  <c r="F764" i="9"/>
  <c r="F765" i="9"/>
  <c r="F766" i="9"/>
  <c r="F743" i="9"/>
  <c r="H740" i="9"/>
  <c r="H739" i="9"/>
  <c r="G740" i="9"/>
  <c r="F740" i="9" s="1"/>
  <c r="G739" i="9"/>
  <c r="F739" i="9" s="1"/>
  <c r="F786" i="9"/>
  <c r="F348" i="9"/>
  <c r="F347" i="9"/>
  <c r="F346" i="9"/>
  <c r="F345" i="9"/>
  <c r="F344" i="9"/>
  <c r="F342" i="9"/>
  <c r="F341" i="9"/>
  <c r="F785" i="9"/>
  <c r="F190" i="9"/>
  <c r="F177" i="9"/>
  <c r="F176" i="9"/>
  <c r="F343" i="9"/>
  <c r="H798" i="9"/>
  <c r="G798" i="9"/>
  <c r="H797" i="9"/>
  <c r="G797" i="9"/>
  <c r="H795" i="9"/>
  <c r="G795" i="9"/>
  <c r="H796" i="9"/>
  <c r="G796" i="9"/>
  <c r="F792" i="9"/>
  <c r="H794" i="9"/>
  <c r="G794" i="9"/>
  <c r="G792" i="9" s="1"/>
  <c r="H793" i="9"/>
  <c r="H792" i="9" s="1"/>
  <c r="G793" i="9"/>
  <c r="H791" i="9"/>
  <c r="G791" i="9"/>
  <c r="E802" i="9"/>
  <c r="D802" i="9"/>
  <c r="E335" i="9"/>
  <c r="E336" i="9"/>
  <c r="D335" i="9"/>
  <c r="D336" i="9" s="1"/>
  <c r="F335" i="9"/>
  <c r="F450" i="14"/>
  <c r="E1248" i="9"/>
  <c r="D1248" i="9"/>
  <c r="E856" i="9"/>
  <c r="D856" i="9"/>
  <c r="E1053" i="9"/>
  <c r="D1053" i="9"/>
  <c r="F849" i="9"/>
  <c r="F833" i="9"/>
  <c r="F856" i="9" s="1"/>
  <c r="F834" i="9"/>
  <c r="F835" i="9"/>
  <c r="F836" i="9"/>
  <c r="F837" i="9"/>
  <c r="F839" i="9"/>
  <c r="F840" i="9"/>
  <c r="F841" i="9"/>
  <c r="F842" i="9"/>
  <c r="F838" i="9"/>
  <c r="F850" i="9"/>
  <c r="F848" i="9"/>
  <c r="F851" i="9"/>
  <c r="F852" i="9"/>
  <c r="F853" i="9"/>
  <c r="F1240" i="9"/>
  <c r="F1239" i="9"/>
  <c r="F1237" i="9"/>
  <c r="F1234" i="9"/>
  <c r="F1233" i="9"/>
  <c r="F1232" i="9"/>
  <c r="F1224" i="9"/>
  <c r="F1223" i="9"/>
  <c r="F1222" i="9"/>
  <c r="F1221" i="9"/>
  <c r="F1220" i="9"/>
  <c r="F1219" i="9"/>
  <c r="F1218" i="9"/>
  <c r="F1216" i="9"/>
  <c r="F1213" i="9"/>
  <c r="F1212" i="9"/>
  <c r="F1211" i="9"/>
  <c r="F1210" i="9"/>
  <c r="F1208" i="9"/>
  <c r="F1207" i="9"/>
  <c r="F1189" i="9"/>
  <c r="F1190" i="9"/>
  <c r="F1191" i="9"/>
  <c r="F1192" i="9"/>
  <c r="F1193" i="9"/>
  <c r="F1194" i="9"/>
  <c r="F1195" i="9"/>
  <c r="F1143" i="9"/>
  <c r="F1134" i="9"/>
  <c r="F1135" i="9"/>
  <c r="F1136" i="9"/>
  <c r="F1145" i="9"/>
  <c r="F1146" i="9"/>
  <c r="F1147" i="9"/>
  <c r="F1148" i="9"/>
  <c r="F1149" i="9"/>
  <c r="F1150" i="9"/>
  <c r="F1151" i="9"/>
  <c r="F1152" i="9"/>
  <c r="F1153" i="9"/>
  <c r="F1154" i="9"/>
  <c r="F1138" i="9"/>
  <c r="F1139" i="9"/>
  <c r="F1155" i="9"/>
  <c r="F1156" i="9"/>
  <c r="F1157" i="9"/>
  <c r="F1158" i="9"/>
  <c r="F1137" i="9"/>
  <c r="F1248" i="9" s="1"/>
  <c r="F1159" i="9"/>
  <c r="F1160" i="9"/>
  <c r="F1202" i="9"/>
  <c r="F1161" i="9"/>
  <c r="F1162" i="9"/>
  <c r="F1188" i="9"/>
  <c r="F1196" i="9"/>
  <c r="F1197" i="9"/>
  <c r="F1198" i="9"/>
  <c r="F1199" i="9"/>
  <c r="F1141" i="9"/>
  <c r="F1142" i="9"/>
  <c r="F1200" i="9"/>
  <c r="F1140" i="9"/>
  <c r="F1201" i="9"/>
  <c r="F1163" i="9"/>
  <c r="F1164" i="9"/>
  <c r="F1165" i="9"/>
  <c r="F1166" i="9"/>
  <c r="F1167" i="9"/>
  <c r="F1203" i="9"/>
  <c r="F1168" i="9"/>
  <c r="F1169" i="9"/>
  <c r="F1170" i="9"/>
  <c r="F1171" i="9"/>
  <c r="F1172" i="9"/>
  <c r="F1204" i="9"/>
  <c r="F1205" i="9"/>
  <c r="F1173" i="9"/>
  <c r="F1174" i="9"/>
  <c r="F1175" i="9"/>
  <c r="F1176" i="9"/>
  <c r="F1177" i="9"/>
  <c r="F1178" i="9"/>
  <c r="F1179" i="9"/>
  <c r="F1180" i="9"/>
  <c r="F1181" i="9"/>
  <c r="F1182" i="9"/>
  <c r="F1183" i="9"/>
  <c r="F1184" i="9"/>
  <c r="F1144" i="9"/>
  <c r="F1206" i="9"/>
  <c r="F1209" i="9"/>
  <c r="F1214" i="9"/>
  <c r="F1215" i="9"/>
  <c r="F1217" i="9"/>
  <c r="F1225" i="9"/>
  <c r="F1226" i="9"/>
  <c r="F1227" i="9"/>
  <c r="F1228" i="9"/>
  <c r="F1229" i="9"/>
  <c r="F1230" i="9"/>
  <c r="F1231" i="9"/>
  <c r="F1235" i="9"/>
  <c r="F1236" i="9"/>
  <c r="F1238" i="9"/>
  <c r="H128" i="14"/>
  <c r="G128" i="14"/>
  <c r="G395" i="14"/>
  <c r="H395" i="14"/>
  <c r="F396" i="14"/>
  <c r="F397" i="14"/>
  <c r="F398" i="14"/>
  <c r="G399" i="14"/>
  <c r="F399" i="14" s="1"/>
  <c r="H399" i="14"/>
  <c r="F394" i="14"/>
  <c r="G393" i="14"/>
  <c r="H393" i="14"/>
  <c r="H391" i="14"/>
  <c r="G391" i="14"/>
  <c r="H339" i="14"/>
  <c r="G339" i="14"/>
  <c r="G366" i="9"/>
  <c r="H366" i="9"/>
  <c r="F366" i="9" s="1"/>
  <c r="G788" i="9"/>
  <c r="G799" i="9" s="1"/>
  <c r="H788" i="9"/>
  <c r="G787" i="9"/>
  <c r="H787" i="9"/>
  <c r="H338" i="14"/>
  <c r="G338" i="14"/>
  <c r="H337" i="14"/>
  <c r="G337" i="14"/>
  <c r="H336" i="14"/>
  <c r="G336" i="14"/>
  <c r="H335" i="14"/>
  <c r="G335" i="14"/>
  <c r="H334" i="14"/>
  <c r="G334" i="14"/>
  <c r="F1083" i="9"/>
  <c r="F1080" i="9"/>
  <c r="F1084" i="9"/>
  <c r="F1086" i="9"/>
  <c r="F1087" i="9"/>
  <c r="G1085" i="9"/>
  <c r="H1085" i="9"/>
  <c r="G1081" i="9"/>
  <c r="H1081" i="9"/>
  <c r="G200" i="9"/>
  <c r="F200" i="9" s="1"/>
  <c r="H200" i="9"/>
  <c r="G199" i="9"/>
  <c r="H199" i="9"/>
  <c r="F807" i="9"/>
  <c r="F806" i="9"/>
  <c r="F818" i="9"/>
  <c r="F819" i="9"/>
  <c r="F820" i="9"/>
  <c r="F821" i="9"/>
  <c r="F822" i="9"/>
  <c r="F817" i="9"/>
  <c r="F299" i="9"/>
  <c r="F217" i="9"/>
  <c r="F336" i="9" s="1"/>
  <c r="F300" i="9"/>
  <c r="F301" i="9"/>
  <c r="F289" i="9"/>
  <c r="F330" i="9"/>
  <c r="F298" i="9"/>
  <c r="G127" i="9"/>
  <c r="G128" i="9"/>
  <c r="H127" i="9"/>
  <c r="H128" i="9" s="1"/>
  <c r="F128" i="9" s="1"/>
  <c r="G126" i="9"/>
  <c r="G74" i="9" s="1"/>
  <c r="H126" i="9"/>
  <c r="H73" i="9" s="1"/>
  <c r="F204" i="14"/>
  <c r="F205" i="14"/>
  <c r="F206" i="14"/>
  <c r="F267" i="14"/>
  <c r="F268" i="14"/>
  <c r="F269" i="14"/>
  <c r="F207" i="14"/>
  <c r="F440" i="14"/>
  <c r="F441" i="14"/>
  <c r="F443" i="14"/>
  <c r="F444" i="14"/>
  <c r="F445" i="14"/>
  <c r="F446" i="14"/>
  <c r="F442" i="14"/>
  <c r="F37" i="14"/>
  <c r="F461" i="14"/>
  <c r="F460" i="14"/>
  <c r="F459" i="14"/>
  <c r="F458" i="14"/>
  <c r="F457" i="14"/>
  <c r="F456" i="14"/>
  <c r="F455" i="14"/>
  <c r="F275" i="14"/>
  <c r="F274" i="14"/>
  <c r="H266" i="14"/>
  <c r="G266" i="14"/>
  <c r="F266" i="14" s="1"/>
  <c r="F265" i="14"/>
  <c r="F264" i="14"/>
  <c r="F263" i="14"/>
  <c r="F262" i="14"/>
  <c r="F261" i="14"/>
  <c r="F260" i="14"/>
  <c r="F259" i="14"/>
  <c r="F258" i="14"/>
  <c r="F257" i="14"/>
  <c r="F256" i="14"/>
  <c r="F255" i="14"/>
  <c r="F254" i="14"/>
  <c r="H253" i="14"/>
  <c r="G253" i="14"/>
  <c r="F253" i="14" s="1"/>
  <c r="H252" i="14"/>
  <c r="G252" i="14"/>
  <c r="H251" i="14"/>
  <c r="F251" i="14" s="1"/>
  <c r="G251" i="14"/>
  <c r="H250" i="14"/>
  <c r="G250" i="14"/>
  <c r="H249" i="14"/>
  <c r="G249" i="14"/>
  <c r="F249" i="14" s="1"/>
  <c r="H248" i="14"/>
  <c r="G248" i="14"/>
  <c r="F248" i="14" s="1"/>
  <c r="H247" i="14"/>
  <c r="G247" i="14"/>
  <c r="F247" i="14" s="1"/>
  <c r="F246" i="14"/>
  <c r="F245" i="14"/>
  <c r="F244" i="14"/>
  <c r="H243" i="14"/>
  <c r="G243" i="14"/>
  <c r="H242" i="14"/>
  <c r="G242" i="14"/>
  <c r="H241" i="14"/>
  <c r="G241" i="14"/>
  <c r="H240" i="14"/>
  <c r="G240" i="14"/>
  <c r="F240" i="14" s="1"/>
  <c r="H239" i="14"/>
  <c r="F239" i="14" s="1"/>
  <c r="G239" i="14"/>
  <c r="H238" i="14"/>
  <c r="G238" i="14"/>
  <c r="F238" i="14" s="1"/>
  <c r="H237" i="14"/>
  <c r="G237" i="14"/>
  <c r="F237" i="14" s="1"/>
  <c r="H236" i="14"/>
  <c r="G236" i="14"/>
  <c r="H235" i="14"/>
  <c r="F235" i="14" s="1"/>
  <c r="G235" i="14"/>
  <c r="H234" i="14"/>
  <c r="G234" i="14"/>
  <c r="H233" i="14"/>
  <c r="F233" i="14" s="1"/>
  <c r="G233" i="14"/>
  <c r="H232" i="14"/>
  <c r="G232" i="14"/>
  <c r="F231" i="14"/>
  <c r="F230" i="14"/>
  <c r="H229" i="14"/>
  <c r="G229" i="14"/>
  <c r="H228" i="14"/>
  <c r="F228" i="14" s="1"/>
  <c r="G228" i="14"/>
  <c r="H225" i="14"/>
  <c r="G225" i="14"/>
  <c r="F225" i="14" s="1"/>
  <c r="H227" i="14"/>
  <c r="F227" i="14" s="1"/>
  <c r="G227" i="14"/>
  <c r="H226" i="14"/>
  <c r="G226" i="14"/>
  <c r="F226" i="14" s="1"/>
  <c r="H224" i="14"/>
  <c r="G224" i="14"/>
  <c r="F224" i="14" s="1"/>
  <c r="H223" i="14"/>
  <c r="G223" i="14"/>
  <c r="H222" i="14"/>
  <c r="G222" i="14"/>
  <c r="H221" i="14"/>
  <c r="G221" i="14"/>
  <c r="F221" i="14" s="1"/>
  <c r="H220" i="14"/>
  <c r="F220" i="14" s="1"/>
  <c r="G220" i="14"/>
  <c r="H219" i="14"/>
  <c r="G219" i="14"/>
  <c r="F219" i="14" s="1"/>
  <c r="H218" i="14"/>
  <c r="G218" i="14"/>
  <c r="F217" i="14"/>
  <c r="F216" i="14"/>
  <c r="F215" i="14"/>
  <c r="F214" i="14"/>
  <c r="F213" i="14"/>
  <c r="F212" i="14"/>
  <c r="F203" i="14"/>
  <c r="F202" i="14"/>
  <c r="F201" i="14"/>
  <c r="F200" i="14"/>
  <c r="F199" i="14"/>
  <c r="F198" i="14"/>
  <c r="H196" i="14"/>
  <c r="G196" i="14"/>
  <c r="F195" i="14"/>
  <c r="H194" i="14"/>
  <c r="G194" i="14"/>
  <c r="F194" i="14" s="1"/>
  <c r="F190" i="14"/>
  <c r="F439" i="14"/>
  <c r="F438" i="14"/>
  <c r="F437" i="14"/>
  <c r="F436" i="14"/>
  <c r="F435" i="14"/>
  <c r="F434" i="14"/>
  <c r="F433" i="14"/>
  <c r="F432" i="14"/>
  <c r="F431" i="14"/>
  <c r="F430" i="14"/>
  <c r="F429" i="14"/>
  <c r="F425" i="14"/>
  <c r="F428" i="14"/>
  <c r="F427" i="14"/>
  <c r="F426" i="14"/>
  <c r="F424" i="14"/>
  <c r="F421" i="14"/>
  <c r="F420" i="14"/>
  <c r="F419" i="14"/>
  <c r="F418" i="14"/>
  <c r="F417" i="14"/>
  <c r="F416" i="14"/>
  <c r="F415" i="14"/>
  <c r="F414" i="14"/>
  <c r="F413" i="14"/>
  <c r="F412" i="14"/>
  <c r="F411" i="14"/>
  <c r="F410" i="14"/>
  <c r="F409" i="14"/>
  <c r="F408" i="14"/>
  <c r="F407" i="14"/>
  <c r="F406" i="14"/>
  <c r="F404" i="14"/>
  <c r="F403" i="14"/>
  <c r="F405" i="14"/>
  <c r="F402" i="14"/>
  <c r="F401" i="14"/>
  <c r="F390" i="14"/>
  <c r="F388" i="14"/>
  <c r="F387" i="14"/>
  <c r="F384" i="14"/>
  <c r="F382" i="14"/>
  <c r="F374" i="14"/>
  <c r="F373" i="14"/>
  <c r="F372" i="14"/>
  <c r="F371" i="14"/>
  <c r="F369" i="14"/>
  <c r="F368" i="14"/>
  <c r="F367" i="14"/>
  <c r="F365" i="14"/>
  <c r="F357" i="14"/>
  <c r="F354" i="14"/>
  <c r="F353" i="14"/>
  <c r="F352" i="14"/>
  <c r="F351" i="14"/>
  <c r="F185" i="14"/>
  <c r="H184" i="14"/>
  <c r="F184" i="14" s="1"/>
  <c r="G184" i="14"/>
  <c r="F183" i="14"/>
  <c r="F182" i="14"/>
  <c r="F181" i="14"/>
  <c r="F179" i="14"/>
  <c r="F178" i="14"/>
  <c r="F177" i="14"/>
  <c r="F174" i="14"/>
  <c r="F176" i="14"/>
  <c r="F175" i="14"/>
  <c r="F173" i="14"/>
  <c r="F171" i="14"/>
  <c r="F165" i="14"/>
  <c r="F164" i="14"/>
  <c r="F163" i="14"/>
  <c r="F162" i="14"/>
  <c r="F346" i="14"/>
  <c r="F342" i="14"/>
  <c r="F341" i="14"/>
  <c r="F340" i="14"/>
  <c r="F333" i="14"/>
  <c r="F332" i="14"/>
  <c r="F331" i="14"/>
  <c r="F330" i="14"/>
  <c r="F329" i="14"/>
  <c r="F328" i="14"/>
  <c r="F327" i="14"/>
  <c r="F326" i="14"/>
  <c r="F325" i="14"/>
  <c r="F324" i="14"/>
  <c r="F323" i="14"/>
  <c r="F322" i="14"/>
  <c r="F321" i="14"/>
  <c r="F320" i="14"/>
  <c r="F319" i="14"/>
  <c r="F318" i="14"/>
  <c r="F161" i="14"/>
  <c r="F160" i="14"/>
  <c r="F159" i="14"/>
  <c r="F158" i="14"/>
  <c r="F157" i="14"/>
  <c r="F156" i="14"/>
  <c r="F154" i="14"/>
  <c r="F153" i="14"/>
  <c r="F152" i="14"/>
  <c r="F151" i="14"/>
  <c r="F150" i="14"/>
  <c r="F149" i="14"/>
  <c r="F148" i="14"/>
  <c r="F146" i="14"/>
  <c r="F145" i="14"/>
  <c r="F143" i="14"/>
  <c r="F142" i="14"/>
  <c r="F141" i="14"/>
  <c r="F139" i="14"/>
  <c r="F138" i="14"/>
  <c r="F136" i="14"/>
  <c r="F132" i="14"/>
  <c r="F131" i="14"/>
  <c r="F130" i="14"/>
  <c r="F127" i="14"/>
  <c r="F126" i="14"/>
  <c r="F125" i="14"/>
  <c r="F124" i="14"/>
  <c r="F123" i="14"/>
  <c r="F122" i="14"/>
  <c r="F117" i="14"/>
  <c r="F116" i="14"/>
  <c r="F109" i="14"/>
  <c r="F108" i="14"/>
  <c r="F102" i="14"/>
  <c r="F92" i="14"/>
  <c r="F91" i="14"/>
  <c r="F313" i="14"/>
  <c r="F90" i="14"/>
  <c r="F89" i="14"/>
  <c r="F88" i="14"/>
  <c r="F87" i="14"/>
  <c r="F86" i="14"/>
  <c r="F81" i="14"/>
  <c r="F80" i="14"/>
  <c r="F78" i="14"/>
  <c r="F77" i="14"/>
  <c r="F76" i="14"/>
  <c r="F75" i="14"/>
  <c r="F311" i="14"/>
  <c r="F310" i="14"/>
  <c r="F309" i="14"/>
  <c r="F308" i="14"/>
  <c r="F307" i="14"/>
  <c r="F306" i="14"/>
  <c r="F35" i="14"/>
  <c r="F34" i="14"/>
  <c r="F33" i="14"/>
  <c r="F32" i="14"/>
  <c r="F31" i="14"/>
  <c r="F30" i="14"/>
  <c r="F29" i="14"/>
  <c r="F22" i="14"/>
  <c r="F21" i="14"/>
  <c r="F20" i="14"/>
  <c r="F19" i="14"/>
  <c r="F18" i="14"/>
  <c r="F17" i="14"/>
  <c r="F16" i="14"/>
  <c r="F15" i="14"/>
  <c r="F312" i="14"/>
  <c r="F12" i="14"/>
  <c r="F744" i="9"/>
  <c r="F742" i="9"/>
  <c r="F741" i="9"/>
  <c r="F738" i="9"/>
  <c r="F737" i="9"/>
  <c r="F736" i="9"/>
  <c r="F735" i="9"/>
  <c r="F1266" i="9"/>
  <c r="F1265" i="9"/>
  <c r="F1264" i="9"/>
  <c r="F1263" i="9"/>
  <c r="F1262" i="9"/>
  <c r="F1261" i="9"/>
  <c r="F1260" i="9"/>
  <c r="F1259" i="9"/>
  <c r="F1258" i="9"/>
  <c r="F1257" i="9"/>
  <c r="F1256" i="9"/>
  <c r="F1308" i="9"/>
  <c r="F1307" i="9"/>
  <c r="F1306" i="9"/>
  <c r="F1305" i="9"/>
  <c r="F1304" i="9"/>
  <c r="F1303" i="9"/>
  <c r="F1302" i="9"/>
  <c r="F1301" i="9"/>
  <c r="F1300" i="9"/>
  <c r="F1299" i="9"/>
  <c r="F1298" i="9"/>
  <c r="F1297" i="9"/>
  <c r="F1296" i="9"/>
  <c r="F1295" i="9"/>
  <c r="F1294" i="9"/>
  <c r="F1293" i="9"/>
  <c r="F1292" i="9"/>
  <c r="F1291" i="9"/>
  <c r="F1290" i="9"/>
  <c r="F1289" i="9"/>
  <c r="F1288" i="9"/>
  <c r="F1287" i="9"/>
  <c r="F1286" i="9"/>
  <c r="F1285" i="9"/>
  <c r="F1284" i="9"/>
  <c r="F1283" i="9"/>
  <c r="F1282" i="9"/>
  <c r="F1281" i="9"/>
  <c r="F1280" i="9"/>
  <c r="F1279" i="9"/>
  <c r="F1255" i="9"/>
  <c r="F1277" i="9"/>
  <c r="F1276" i="9"/>
  <c r="F1275" i="9"/>
  <c r="F1274" i="9"/>
  <c r="F1273" i="9"/>
  <c r="F1254" i="9"/>
  <c r="F1271" i="9"/>
  <c r="F1270" i="9"/>
  <c r="F1269" i="9"/>
  <c r="F1268" i="9"/>
  <c r="F1267" i="9"/>
  <c r="F1309" i="9" s="1"/>
  <c r="F155" i="9"/>
  <c r="F150" i="9"/>
  <c r="F157" i="9"/>
  <c r="F154" i="9"/>
  <c r="F152" i="9"/>
  <c r="F151" i="9"/>
  <c r="F166" i="9" s="1"/>
  <c r="F156" i="9"/>
  <c r="F153" i="9"/>
  <c r="F174" i="9"/>
  <c r="F175" i="9"/>
  <c r="F171" i="9"/>
  <c r="F172" i="9"/>
  <c r="F173" i="9"/>
  <c r="O15" i="12"/>
  <c r="O17" i="12"/>
  <c r="O18" i="12"/>
  <c r="O19" i="12"/>
  <c r="O20" i="12"/>
  <c r="O16" i="12"/>
  <c r="N16" i="4"/>
  <c r="N13" i="4"/>
  <c r="N9" i="4"/>
  <c r="N10" i="4"/>
  <c r="N14" i="4"/>
  <c r="N15" i="4"/>
  <c r="N19" i="4"/>
  <c r="H11" i="12"/>
  <c r="H13" i="12"/>
  <c r="H21" i="12"/>
  <c r="H14" i="12"/>
  <c r="H10" i="12"/>
  <c r="G11" i="12"/>
  <c r="G13" i="12"/>
  <c r="G21" i="12"/>
  <c r="G14" i="12"/>
  <c r="G10" i="12"/>
  <c r="H9" i="13"/>
  <c r="G9" i="13"/>
  <c r="I9" i="13" s="1"/>
  <c r="R14" i="12"/>
  <c r="F14" i="12"/>
  <c r="J14" i="12"/>
  <c r="R21" i="12"/>
  <c r="F21" i="12"/>
  <c r="J21" i="12"/>
  <c r="R13" i="12"/>
  <c r="F13" i="12"/>
  <c r="J13" i="12"/>
  <c r="R11" i="12"/>
  <c r="F11" i="12"/>
  <c r="J11" i="12"/>
  <c r="D11" i="12"/>
  <c r="R10" i="12"/>
  <c r="F10" i="12"/>
  <c r="J10" i="12"/>
  <c r="D10" i="12"/>
  <c r="K9" i="13"/>
  <c r="S12" i="13"/>
  <c r="S11" i="13"/>
  <c r="S10" i="13"/>
  <c r="S9" i="13"/>
  <c r="F590" i="9"/>
  <c r="F591" i="9"/>
  <c r="O10" i="4"/>
  <c r="F1038" i="9"/>
  <c r="F1039" i="9"/>
  <c r="F1040" i="9"/>
  <c r="F1041" i="9"/>
  <c r="F1053" i="9" s="1"/>
  <c r="F1042" i="9"/>
  <c r="F1043" i="9"/>
  <c r="F1044" i="9"/>
  <c r="F1045" i="9"/>
  <c r="F1046" i="9"/>
  <c r="O9" i="4"/>
  <c r="O19" i="4"/>
  <c r="O8" i="4"/>
  <c r="F1047" i="9"/>
  <c r="F1048" i="9"/>
  <c r="F1049" i="9"/>
  <c r="F1050" i="9"/>
  <c r="F12" i="9"/>
  <c r="F13" i="9"/>
  <c r="F14" i="9"/>
  <c r="F15" i="9"/>
  <c r="F16" i="9"/>
  <c r="F17" i="9"/>
  <c r="F18" i="9"/>
  <c r="F19" i="9"/>
  <c r="F20" i="9"/>
  <c r="F11" i="9"/>
  <c r="F571" i="9"/>
  <c r="F572" i="9"/>
  <c r="F573" i="9"/>
  <c r="F568" i="9"/>
  <c r="F638" i="9" s="1"/>
  <c r="F574" i="9"/>
  <c r="F569" i="9"/>
  <c r="F570" i="9"/>
  <c r="F575" i="9"/>
  <c r="F585" i="9"/>
  <c r="F586" i="9"/>
  <c r="F1027" i="9"/>
  <c r="F1028" i="9"/>
  <c r="F1029" i="9"/>
  <c r="F1030" i="9"/>
  <c r="F978" i="9"/>
  <c r="F977" i="9"/>
  <c r="F976" i="9"/>
  <c r="F975" i="9"/>
  <c r="F974" i="9"/>
  <c r="I11" i="12"/>
  <c r="K11" i="12"/>
  <c r="I13" i="12"/>
  <c r="K13" i="12"/>
  <c r="I10" i="12"/>
  <c r="K10" i="12"/>
  <c r="I21" i="12"/>
  <c r="K21" i="12"/>
  <c r="I14" i="12"/>
  <c r="K14" i="12"/>
  <c r="F395" i="14"/>
  <c r="F827" i="9"/>
  <c r="F241" i="14"/>
  <c r="F243" i="14"/>
  <c r="F236" i="14"/>
  <c r="F242" i="14"/>
  <c r="F222" i="14"/>
  <c r="F229" i="14"/>
  <c r="F234" i="14"/>
  <c r="F223" i="14"/>
  <c r="F252" i="14"/>
  <c r="F218" i="14"/>
  <c r="F196" i="14"/>
  <c r="F250" i="14"/>
  <c r="F232" i="14"/>
  <c r="G71" i="9"/>
  <c r="F725" i="9"/>
  <c r="F126" i="9"/>
  <c r="F543" i="9"/>
  <c r="F199" i="9"/>
  <c r="H799" i="9"/>
  <c r="F1085" i="9"/>
  <c r="F1126" i="9" s="1"/>
  <c r="F550" i="9"/>
  <c r="F1081" i="9"/>
  <c r="F544" i="9"/>
  <c r="H801" i="9"/>
  <c r="F514" i="9"/>
  <c r="F546" i="9"/>
  <c r="G545" i="9"/>
  <c r="H800" i="9"/>
  <c r="F787" i="9"/>
  <c r="H111" i="9"/>
  <c r="G111" i="9"/>
  <c r="G129" i="9"/>
  <c r="L9" i="13" l="1"/>
  <c r="J9" i="13"/>
  <c r="F146" i="9"/>
  <c r="F776" i="9"/>
  <c r="F561" i="9"/>
  <c r="F30" i="9"/>
  <c r="F201" i="9"/>
  <c r="F378" i="9"/>
  <c r="F71" i="9"/>
  <c r="F788" i="9"/>
  <c r="G801" i="9"/>
  <c r="G800" i="9"/>
  <c r="H65" i="9"/>
  <c r="H74" i="9"/>
  <c r="F74" i="9" s="1"/>
  <c r="G65" i="9"/>
  <c r="F65" i="9" s="1"/>
  <c r="F86" i="9" s="1"/>
  <c r="G73" i="9"/>
  <c r="F73" i="9" s="1"/>
  <c r="H71" i="9"/>
  <c r="F127" i="9"/>
  <c r="H129" i="9"/>
  <c r="F129" i="9" s="1"/>
  <c r="F800" i="9" l="1"/>
  <c r="F799" i="9"/>
  <c r="F802" i="9" s="1"/>
  <c r="F801" i="9"/>
</calcChain>
</file>

<file path=xl/sharedStrings.xml><?xml version="1.0" encoding="utf-8"?>
<sst xmlns="http://schemas.openxmlformats.org/spreadsheetml/2006/main" count="17349" uniqueCount="4740">
  <si>
    <t>Country</t>
  </si>
  <si>
    <t>Sex</t>
  </si>
  <si>
    <t>F</t>
  </si>
  <si>
    <t>H3</t>
  </si>
  <si>
    <t>HV0</t>
  </si>
  <si>
    <t>J1</t>
  </si>
  <si>
    <t>K1a</t>
  </si>
  <si>
    <t>T2b</t>
  </si>
  <si>
    <t>U</t>
  </si>
  <si>
    <t>U5</t>
  </si>
  <si>
    <t>V</t>
  </si>
  <si>
    <t>X2</t>
  </si>
  <si>
    <t>U5b</t>
  </si>
  <si>
    <t>N1a</t>
  </si>
  <si>
    <t>M</t>
  </si>
  <si>
    <t>Karsdorf</t>
  </si>
  <si>
    <t>Germany</t>
  </si>
  <si>
    <t>LBK?</t>
  </si>
  <si>
    <t>H</t>
  </si>
  <si>
    <t>KAR 11</t>
  </si>
  <si>
    <t>KAR 20</t>
  </si>
  <si>
    <t>LBK</t>
  </si>
  <si>
    <t>KAR 29</t>
  </si>
  <si>
    <t>KAR 59</t>
  </si>
  <si>
    <t>KAR 18</t>
  </si>
  <si>
    <t>H1bz</t>
  </si>
  <si>
    <t>T1a</t>
  </si>
  <si>
    <t>KAR 6</t>
  </si>
  <si>
    <t>I0795</t>
  </si>
  <si>
    <t>H46b</t>
  </si>
  <si>
    <t>KAR 16</t>
  </si>
  <si>
    <t>I0797</t>
  </si>
  <si>
    <t>HV</t>
  </si>
  <si>
    <t>KAR 17</t>
  </si>
  <si>
    <t>J</t>
  </si>
  <si>
    <t>KAR 1</t>
  </si>
  <si>
    <t>Naumburg</t>
  </si>
  <si>
    <t>NAU 2</t>
  </si>
  <si>
    <t>J1c</t>
  </si>
  <si>
    <t>KAR 57</t>
  </si>
  <si>
    <t>KAR 14</t>
  </si>
  <si>
    <t>J1c2</t>
  </si>
  <si>
    <t>KAR 3</t>
  </si>
  <si>
    <t>K</t>
  </si>
  <si>
    <t>KAR 10</t>
  </si>
  <si>
    <t>KAR 54</t>
  </si>
  <si>
    <t>KAR 7</t>
  </si>
  <si>
    <t>NAU 3</t>
  </si>
  <si>
    <t>K1b1a</t>
  </si>
  <si>
    <t>KAR 8</t>
  </si>
  <si>
    <t>K2a5</t>
  </si>
  <si>
    <t>KAR 55</t>
  </si>
  <si>
    <t>N1a1a3</t>
  </si>
  <si>
    <t>KAR 40</t>
  </si>
  <si>
    <t>NAU 1</t>
  </si>
  <si>
    <t>KAR 15</t>
  </si>
  <si>
    <t>T2c</t>
  </si>
  <si>
    <t>NAU 5</t>
  </si>
  <si>
    <t>T2e</t>
  </si>
  <si>
    <t>KAR 13</t>
  </si>
  <si>
    <t>T2f</t>
  </si>
  <si>
    <t>KAR 9</t>
  </si>
  <si>
    <t>U5a</t>
  </si>
  <si>
    <t>KAR 4</t>
  </si>
  <si>
    <t>KAR 19</t>
  </si>
  <si>
    <t>Oberwiederstedt 1, Unterwiederstedt</t>
  </si>
  <si>
    <t>UWS 11</t>
  </si>
  <si>
    <t>Unterwiederstedt</t>
  </si>
  <si>
    <t>J1c17</t>
  </si>
  <si>
    <t>-</t>
  </si>
  <si>
    <t>I0054</t>
  </si>
  <si>
    <t>UWS 8b</t>
  </si>
  <si>
    <t>UWS 6</t>
  </si>
  <si>
    <t>T2b23a</t>
  </si>
  <si>
    <t>UWS 7</t>
  </si>
  <si>
    <t>UWS 5.2</t>
  </si>
  <si>
    <t>UWS 3</t>
  </si>
  <si>
    <t>UWS 2</t>
  </si>
  <si>
    <t>N1a1a</t>
  </si>
  <si>
    <t>X2c</t>
  </si>
  <si>
    <t>I</t>
  </si>
  <si>
    <t>J2b1a</t>
  </si>
  <si>
    <t>H5</t>
  </si>
  <si>
    <t>K1</t>
  </si>
  <si>
    <t>G2a2a</t>
  </si>
  <si>
    <t>T2c1d1</t>
  </si>
  <si>
    <t>X</t>
  </si>
  <si>
    <t>W</t>
  </si>
  <si>
    <t>Derenburg-Meerenstieg II</t>
  </si>
  <si>
    <t>deb21</t>
  </si>
  <si>
    <t>deb09</t>
  </si>
  <si>
    <t>deb20</t>
  </si>
  <si>
    <t>deb05</t>
  </si>
  <si>
    <t>deb04</t>
  </si>
  <si>
    <t>deb26</t>
  </si>
  <si>
    <t>deb30</t>
  </si>
  <si>
    <t>deb37l</t>
  </si>
  <si>
    <t>deb38</t>
  </si>
  <si>
    <t>deb02</t>
  </si>
  <si>
    <t>deb29ll</t>
  </si>
  <si>
    <t>deb10</t>
  </si>
  <si>
    <t>deb22</t>
  </si>
  <si>
    <t>N1a1</t>
  </si>
  <si>
    <t>deb01</t>
  </si>
  <si>
    <t>deb03</t>
  </si>
  <si>
    <t>T</t>
  </si>
  <si>
    <t>deb35ll</t>
  </si>
  <si>
    <t>deb32</t>
  </si>
  <si>
    <t>deb11</t>
  </si>
  <si>
    <t>T2</t>
  </si>
  <si>
    <t>deb39</t>
  </si>
  <si>
    <t>deb15</t>
  </si>
  <si>
    <t>deb33</t>
  </si>
  <si>
    <t>deb36</t>
  </si>
  <si>
    <t>deb12l</t>
  </si>
  <si>
    <t>deb23</t>
  </si>
  <si>
    <t>deb34ll</t>
  </si>
  <si>
    <t>Halberstadt-Sonntagsfeld</t>
  </si>
  <si>
    <t>HAL 11</t>
  </si>
  <si>
    <t>H1e</t>
  </si>
  <si>
    <t>H23</t>
  </si>
  <si>
    <t>HAL 36</t>
  </si>
  <si>
    <t>H26</t>
  </si>
  <si>
    <t>HAL 12</t>
  </si>
  <si>
    <t>HAL 9</t>
  </si>
  <si>
    <t>I0048</t>
  </si>
  <si>
    <t>K1a2</t>
  </si>
  <si>
    <t>I1550</t>
  </si>
  <si>
    <t>N1a1a1</t>
  </si>
  <si>
    <t>I0057</t>
  </si>
  <si>
    <t>N1a1a1a</t>
  </si>
  <si>
    <t>I0100</t>
  </si>
  <si>
    <t>N1a1a1a2</t>
  </si>
  <si>
    <t>G2a2a1</t>
  </si>
  <si>
    <t>I0659</t>
  </si>
  <si>
    <t>HAL 30</t>
  </si>
  <si>
    <t>I0056</t>
  </si>
  <si>
    <t>HAL 3</t>
  </si>
  <si>
    <t>T2c1</t>
  </si>
  <si>
    <t>I0046</t>
  </si>
  <si>
    <t>HAL 1</t>
  </si>
  <si>
    <t>HAL 16</t>
  </si>
  <si>
    <t>X2d1</t>
  </si>
  <si>
    <t>I0821</t>
  </si>
  <si>
    <t>J1c1</t>
  </si>
  <si>
    <t>Early Neolithic</t>
  </si>
  <si>
    <t>Hungary</t>
  </si>
  <si>
    <t>C1a2</t>
  </si>
  <si>
    <t>Gruta do Caldeirão</t>
  </si>
  <si>
    <t>Portugal</t>
  </si>
  <si>
    <t>Neolithic_Portugal</t>
  </si>
  <si>
    <t>CALO1140</t>
  </si>
  <si>
    <t>CALP12130</t>
  </si>
  <si>
    <t>H4a1a</t>
  </si>
  <si>
    <t>F19</t>
  </si>
  <si>
    <t>CALN1424</t>
  </si>
  <si>
    <t>CALO1174</t>
  </si>
  <si>
    <t>CALO1436</t>
  </si>
  <si>
    <t>CALP11317</t>
  </si>
  <si>
    <t>CALP12151</t>
  </si>
  <si>
    <t>CALQ12181</t>
  </si>
  <si>
    <t>G21</t>
  </si>
  <si>
    <t>U4</t>
  </si>
  <si>
    <t>Starcevo</t>
  </si>
  <si>
    <t>Spain</t>
  </si>
  <si>
    <t>Gamba et al. 2012</t>
  </si>
  <si>
    <t>CSA16</t>
  </si>
  <si>
    <t>CSA152223</t>
  </si>
  <si>
    <t>K1a2a</t>
  </si>
  <si>
    <t>CB13</t>
  </si>
  <si>
    <t>N</t>
  </si>
  <si>
    <t>CSA0511</t>
  </si>
  <si>
    <t>CSA29</t>
  </si>
  <si>
    <t>X1</t>
  </si>
  <si>
    <t>CSA26</t>
  </si>
  <si>
    <t>CB14</t>
  </si>
  <si>
    <t>1CH0102</t>
  </si>
  <si>
    <t>2CH0102</t>
  </si>
  <si>
    <t>3CH01</t>
  </si>
  <si>
    <t>Iberia_EN</t>
  </si>
  <si>
    <t>I2a1b1</t>
  </si>
  <si>
    <t>Troc5</t>
  </si>
  <si>
    <t>I0412</t>
  </si>
  <si>
    <t>T2c1d</t>
  </si>
  <si>
    <t>R1b1</t>
  </si>
  <si>
    <t>Troc3</t>
  </si>
  <si>
    <t>I0410</t>
  </si>
  <si>
    <t>Troc7</t>
  </si>
  <si>
    <t>I0413</t>
  </si>
  <si>
    <t>J1c3</t>
  </si>
  <si>
    <t>Troc1</t>
  </si>
  <si>
    <t>I0409</t>
  </si>
  <si>
    <t>Troc4</t>
  </si>
  <si>
    <t>I0411</t>
  </si>
  <si>
    <t>Los Cascajos (Navarra)</t>
  </si>
  <si>
    <t>CAS-173</t>
  </si>
  <si>
    <t>CAS-182</t>
  </si>
  <si>
    <t>CAS-193S</t>
  </si>
  <si>
    <t>CAS-194</t>
  </si>
  <si>
    <t>CAS-196</t>
  </si>
  <si>
    <t>CAS-21</t>
  </si>
  <si>
    <t>CAS-222</t>
  </si>
  <si>
    <t>CAS-33</t>
  </si>
  <si>
    <t>CAS-341</t>
  </si>
  <si>
    <t>CAS-48</t>
  </si>
  <si>
    <t>CAS-497</t>
  </si>
  <si>
    <t>CAS-90</t>
  </si>
  <si>
    <t>Paternanbidea (Navarra)</t>
  </si>
  <si>
    <t>PAT-1E3</t>
  </si>
  <si>
    <t>PAT-1E5</t>
  </si>
  <si>
    <t>PAT-2E1</t>
  </si>
  <si>
    <t>PAT-1E4</t>
  </si>
  <si>
    <t>PAT-4E2</t>
  </si>
  <si>
    <t>PAT-3E2</t>
  </si>
  <si>
    <t>PAT-4E1</t>
  </si>
  <si>
    <t>CAS-179</t>
  </si>
  <si>
    <t>CAS-203</t>
  </si>
  <si>
    <t>PAT-2E2</t>
  </si>
  <si>
    <t>CAS-181</t>
  </si>
  <si>
    <t>CAS-183</t>
  </si>
  <si>
    <t>CAS-191</t>
  </si>
  <si>
    <t>CAS-180</t>
  </si>
  <si>
    <t>CAS-148</t>
  </si>
  <si>
    <t>CAS-202</t>
  </si>
  <si>
    <t>CAS-216</t>
  </si>
  <si>
    <t>CAS-254</t>
  </si>
  <si>
    <t>CAS-258</t>
  </si>
  <si>
    <t>CAS-517</t>
  </si>
  <si>
    <t>CAS-70</t>
  </si>
  <si>
    <t>PAT-1E1</t>
  </si>
  <si>
    <t>CAS-204</t>
  </si>
  <si>
    <t>CAS-257</t>
  </si>
  <si>
    <t>Vinkovci Nama</t>
  </si>
  <si>
    <t>Croatia</t>
  </si>
  <si>
    <t>VINK3</t>
  </si>
  <si>
    <t xml:space="preserve">Vinkovci Jugobanka </t>
  </si>
  <si>
    <t>VINJ2</t>
  </si>
  <si>
    <t>VINJ1</t>
  </si>
  <si>
    <t xml:space="preserve">Vukovar Gimnazija </t>
  </si>
  <si>
    <t>VUKG4</t>
  </si>
  <si>
    <t>VINJ3</t>
  </si>
  <si>
    <t>VINK2</t>
  </si>
  <si>
    <t>VUKG1</t>
  </si>
  <si>
    <t>VUKG3</t>
  </si>
  <si>
    <t>VINK1</t>
  </si>
  <si>
    <t>VINK5</t>
  </si>
  <si>
    <t>V6</t>
  </si>
  <si>
    <t>VINJ4</t>
  </si>
  <si>
    <t>Alsónyék-Bátaszék, Mérnöki telep</t>
  </si>
  <si>
    <t>Lánycsók, Gata-Csotola</t>
  </si>
  <si>
    <t>BAM18</t>
  </si>
  <si>
    <t>BAM14</t>
  </si>
  <si>
    <t>BAM02</t>
  </si>
  <si>
    <t>BAM16</t>
  </si>
  <si>
    <t>Lánycsók, Csata-alja</t>
  </si>
  <si>
    <t>M6-116.4</t>
  </si>
  <si>
    <t>BAM07</t>
  </si>
  <si>
    <t>BAM24</t>
  </si>
  <si>
    <t>LGCS4</t>
  </si>
  <si>
    <t>BAM09</t>
  </si>
  <si>
    <t>BAM19</t>
  </si>
  <si>
    <t>LGCS2</t>
  </si>
  <si>
    <t>BAM22</t>
  </si>
  <si>
    <t>Alsonyek-Bataszek, Mernoki telep</t>
  </si>
  <si>
    <t>H2</t>
  </si>
  <si>
    <t>BAM25</t>
  </si>
  <si>
    <t>BAM08</t>
  </si>
  <si>
    <t>BAM01</t>
  </si>
  <si>
    <t>BAM20</t>
  </si>
  <si>
    <t>BAM21</t>
  </si>
  <si>
    <t>BAM26</t>
  </si>
  <si>
    <t>M6-116.9</t>
  </si>
  <si>
    <t>BAM05</t>
  </si>
  <si>
    <t>U3</t>
  </si>
  <si>
    <t>BAM12</t>
  </si>
  <si>
    <t>M6-116.1</t>
  </si>
  <si>
    <t>BAM06</t>
  </si>
  <si>
    <t>BAM03</t>
  </si>
  <si>
    <t>BAM13</t>
  </si>
  <si>
    <t>BAM15</t>
  </si>
  <si>
    <t>BAM23</t>
  </si>
  <si>
    <t>Resmo</t>
  </si>
  <si>
    <t>Sweden</t>
  </si>
  <si>
    <t>Res20</t>
  </si>
  <si>
    <t>J1d5</t>
  </si>
  <si>
    <t>Res15</t>
  </si>
  <si>
    <t xml:space="preserve">Gökhem </t>
  </si>
  <si>
    <t>H24</t>
  </si>
  <si>
    <t>Gök7</t>
  </si>
  <si>
    <t>Ste9</t>
  </si>
  <si>
    <t>K1a5</t>
  </si>
  <si>
    <t>Gök5</t>
  </si>
  <si>
    <t>Gök4</t>
  </si>
  <si>
    <t>Ste7</t>
  </si>
  <si>
    <t>Gök2</t>
  </si>
  <si>
    <t>Tell Halula</t>
  </si>
  <si>
    <t>Middle PPNB</t>
  </si>
  <si>
    <t>H28</t>
  </si>
  <si>
    <t>H53</t>
  </si>
  <si>
    <t>H25</t>
  </si>
  <si>
    <t>H4</t>
  </si>
  <si>
    <t>H7</t>
  </si>
  <si>
    <t>PPNB</t>
  </si>
  <si>
    <t>H49</t>
  </si>
  <si>
    <t>H68</t>
  </si>
  <si>
    <t>R0</t>
  </si>
  <si>
    <t>L3</t>
  </si>
  <si>
    <t>H8</t>
  </si>
  <si>
    <t>H70</t>
  </si>
  <si>
    <t>Turkey</t>
  </si>
  <si>
    <t>X2m</t>
  </si>
  <si>
    <t>G2a2b</t>
  </si>
  <si>
    <t>Bar31</t>
  </si>
  <si>
    <t>Bar8</t>
  </si>
  <si>
    <t>U8b1b1</t>
  </si>
  <si>
    <t>I0745</t>
  </si>
  <si>
    <t>M11-363</t>
  </si>
  <si>
    <t>I1580</t>
  </si>
  <si>
    <t>L12-393</t>
  </si>
  <si>
    <t>I0725</t>
  </si>
  <si>
    <t>I2c</t>
  </si>
  <si>
    <t>I1096</t>
  </si>
  <si>
    <t>I0736</t>
  </si>
  <si>
    <t>L11-216</t>
  </si>
  <si>
    <t>I0854</t>
  </si>
  <si>
    <t>L11-215</t>
  </si>
  <si>
    <t>G2a2a1b</t>
  </si>
  <si>
    <t>I1099</t>
  </si>
  <si>
    <t>L11-S-488</t>
  </si>
  <si>
    <t>I1101</t>
  </si>
  <si>
    <t>M11-352a</t>
  </si>
  <si>
    <t>I0726</t>
  </si>
  <si>
    <t>I1585</t>
  </si>
  <si>
    <t>M11-59</t>
  </si>
  <si>
    <t>J1c11</t>
  </si>
  <si>
    <t>G2a2b2a</t>
  </si>
  <si>
    <t>I0744</t>
  </si>
  <si>
    <t>M10-275</t>
  </si>
  <si>
    <t>K1a or K1a1</t>
  </si>
  <si>
    <t>G2a2b2a1c</t>
  </si>
  <si>
    <t>I0746</t>
  </si>
  <si>
    <t>L11-322</t>
  </si>
  <si>
    <t>K1a or K1a6</t>
  </si>
  <si>
    <t>I1100</t>
  </si>
  <si>
    <t>M11-351</t>
  </si>
  <si>
    <t>G</t>
  </si>
  <si>
    <t>I0727</t>
  </si>
  <si>
    <t>I1583</t>
  </si>
  <si>
    <t>L14-200</t>
  </si>
  <si>
    <t>K1a3a</t>
  </si>
  <si>
    <t>I1102</t>
  </si>
  <si>
    <t>M11-354</t>
  </si>
  <si>
    <t>K1a4</t>
  </si>
  <si>
    <t>I0707</t>
  </si>
  <si>
    <t>I0724</t>
  </si>
  <si>
    <t>K1a-C150T</t>
  </si>
  <si>
    <t>I1579</t>
  </si>
  <si>
    <t>M13-72</t>
  </si>
  <si>
    <t>K1b1b1</t>
  </si>
  <si>
    <t>G2a2a1b1</t>
  </si>
  <si>
    <t>I1103</t>
  </si>
  <si>
    <t>M11-S-350</t>
  </si>
  <si>
    <t>N1b1a</t>
  </si>
  <si>
    <t>J2a</t>
  </si>
  <si>
    <t>I1581</t>
  </si>
  <si>
    <t>L12-502</t>
  </si>
  <si>
    <t>W1-T119C</t>
  </si>
  <si>
    <t>I1097</t>
  </si>
  <si>
    <t>X2d2</t>
  </si>
  <si>
    <t>I1098</t>
  </si>
  <si>
    <t>X2m2</t>
  </si>
  <si>
    <t>I0723</t>
  </si>
  <si>
    <t>Chandler et al. 2005</t>
  </si>
  <si>
    <t>Chandler 2003</t>
  </si>
  <si>
    <t>Brandt et al. 2013</t>
  </si>
  <si>
    <t>Fernandez et al. 2014</t>
  </si>
  <si>
    <t>Gamba et al. 2014</t>
  </si>
  <si>
    <t>Haak et al. 2010</t>
  </si>
  <si>
    <t>Haak et al. 2005</t>
  </si>
  <si>
    <t>Haak et al. 2015</t>
  </si>
  <si>
    <t>Hervella et al. 2012</t>
  </si>
  <si>
    <t>Hervella et al. 2015</t>
  </si>
  <si>
    <t>Malmström et al. 2015</t>
  </si>
  <si>
    <t>Mathieson et al. 2015</t>
  </si>
  <si>
    <t>Olalde et al. 2015</t>
  </si>
  <si>
    <t>Skoglund et al. 2014</t>
  </si>
  <si>
    <t>Szécsényi-Nagy et al. 2015</t>
  </si>
  <si>
    <t>Brandt et al. 2013, Haak et al. 2015</t>
  </si>
  <si>
    <t>Brandt et al. 2013, Mathieson et al. 2015</t>
  </si>
  <si>
    <t>Haak et al. 2005, Brandt et al. 2013</t>
  </si>
  <si>
    <t>Haak et al. 2010, Brandt et al. 2013</t>
  </si>
  <si>
    <t>Hofmanová et al. 2016</t>
  </si>
  <si>
    <t>Chandler 2003, Chandler et al. 2005, Brandt et al. 2013</t>
  </si>
  <si>
    <t>Hervella et al. 2012, Brandt et al. 2013</t>
  </si>
  <si>
    <t>Malmström et al. 2015, Skoglund et al. 2014</t>
  </si>
  <si>
    <t>Brandt et al. 2013, Malmström et al. 2015</t>
  </si>
  <si>
    <t>Brandt et al. 2013, Malmström et al. 2015, Skoglund et al. 2014</t>
  </si>
  <si>
    <t>Chandler, H. Using Ancient DNA to Link Culture and Biology in Human Populations, thesis (University of Oxford, 2003).</t>
  </si>
  <si>
    <t>cal BCE mean</t>
  </si>
  <si>
    <t>cal BCE max</t>
  </si>
  <si>
    <t>cal BCE min</t>
  </si>
  <si>
    <t>mtDNA Haplogroup</t>
  </si>
  <si>
    <t>Y DNA</t>
  </si>
  <si>
    <t>Arqueological Context</t>
  </si>
  <si>
    <t>Sample iD</t>
  </si>
  <si>
    <t>Haak et al. 2005, Haak et al. 2010</t>
  </si>
  <si>
    <t>Brace et al. 2019</t>
  </si>
  <si>
    <t>Olalde et al. 2018</t>
  </si>
  <si>
    <t>Eton Rowing Course, Buckinghamshire, England</t>
  </si>
  <si>
    <t>J1c6</t>
  </si>
  <si>
    <t>England_N</t>
  </si>
  <si>
    <t>I2605</t>
  </si>
  <si>
    <t>SK 5587,DBC 96</t>
  </si>
  <si>
    <t>Tulloch of Assery B, Highland, Scotland</t>
  </si>
  <si>
    <t>T2e1</t>
  </si>
  <si>
    <t>Scotland_N</t>
  </si>
  <si>
    <t>I2633</t>
  </si>
  <si>
    <t>GENSCOT05</t>
  </si>
  <si>
    <t>Tulach an t'Sionnach, Highland, Scotland</t>
  </si>
  <si>
    <t>U2+152</t>
  </si>
  <si>
    <t>I2a1b</t>
  </si>
  <si>
    <t>I2634</t>
  </si>
  <si>
    <t>GENSCOT06</t>
  </si>
  <si>
    <t>Tulloch of Assery A, Highland, Scotland</t>
  </si>
  <si>
    <t>U5b1+16189+16192</t>
  </si>
  <si>
    <t>I2635</t>
  </si>
  <si>
    <t>GENSCOT07</t>
  </si>
  <si>
    <t>Holm of Papa Westray North, Orkney, Scotland</t>
  </si>
  <si>
    <t>I2636</t>
  </si>
  <si>
    <t>GENSCOT08</t>
  </si>
  <si>
    <t>K1b1a1</t>
  </si>
  <si>
    <t>I2637</t>
  </si>
  <si>
    <t>GENSCOT09</t>
  </si>
  <si>
    <t>I2a2a1b</t>
  </si>
  <si>
    <t>I2650</t>
  </si>
  <si>
    <t>GENSCOT10</t>
  </si>
  <si>
    <t>Macarthur Cave, Oban, Argyll and Bute, Scotland</t>
  </si>
  <si>
    <t>W1+119</t>
  </si>
  <si>
    <t>I2a2a</t>
  </si>
  <si>
    <t>I2657</t>
  </si>
  <si>
    <t>GENSCOT26</t>
  </si>
  <si>
    <t>Distillery Cave, Oban, Argyll and Bute, Scotland</t>
  </si>
  <si>
    <t>H1c</t>
  </si>
  <si>
    <t>I2659</t>
  </si>
  <si>
    <t>GENSCOT28</t>
  </si>
  <si>
    <t>I2a2a1</t>
  </si>
  <si>
    <t>I2691</t>
  </si>
  <si>
    <t>GENSCOT30</t>
  </si>
  <si>
    <t>Point of Cott, Orkney, Scotland</t>
  </si>
  <si>
    <t>I2796</t>
  </si>
  <si>
    <t>GENSCOT79</t>
  </si>
  <si>
    <t>Clachaig, Arran, North Ayrshire, Scotland</t>
  </si>
  <si>
    <t>U5b2a3</t>
  </si>
  <si>
    <t>I2988</t>
  </si>
  <si>
    <t>GENSCOT60</t>
  </si>
  <si>
    <t>Aveline’s Hole, Somerset, England</t>
  </si>
  <si>
    <t>British Early Neolithic</t>
  </si>
  <si>
    <t>I3005</t>
  </si>
  <si>
    <t>Aveline_13/SB338B</t>
  </si>
  <si>
    <t>Little Lodge, Powys, Wales</t>
  </si>
  <si>
    <t>T / V22</t>
  </si>
  <si>
    <t>I3023</t>
  </si>
  <si>
    <t>Little_Lodge/SB415A</t>
  </si>
  <si>
    <t>Ogof Yr Ychen, Caldey Island, Pembrokeshire, Wales</t>
  </si>
  <si>
    <t>I3033</t>
  </si>
  <si>
    <t>Ogof_yr_ychen_3/SB462A</t>
  </si>
  <si>
    <t>Whitehawk, Brighton, Sussex, England</t>
  </si>
  <si>
    <t>M / V / B4</t>
  </si>
  <si>
    <t>NA</t>
  </si>
  <si>
    <t>I3039</t>
  </si>
  <si>
    <t>Whitehawk_1/SB493A</t>
  </si>
  <si>
    <t>K1a11</t>
  </si>
  <si>
    <t>I3040</t>
  </si>
  <si>
    <t>Whitehawk_2/SB495A</t>
  </si>
  <si>
    <t>Raschoille Cave, Oban, Argyll and Bute, Scotland</t>
  </si>
  <si>
    <t>I3041</t>
  </si>
  <si>
    <t>ORC_III.13.18</t>
  </si>
  <si>
    <t>Carsington Pasture Cave, Brassington, Derbyshire, England</t>
  </si>
  <si>
    <t>I2a2a1a1a</t>
  </si>
  <si>
    <t>I3068</t>
  </si>
  <si>
    <t>CPC03066</t>
  </si>
  <si>
    <t>K1a+195</t>
  </si>
  <si>
    <t>I3133</t>
  </si>
  <si>
    <t>ORC_III_10.4</t>
  </si>
  <si>
    <t>T2f4</t>
  </si>
  <si>
    <t>I3134</t>
  </si>
  <si>
    <t>ORC_III_17.21</t>
  </si>
  <si>
    <t>U5b2a</t>
  </si>
  <si>
    <t>I3135</t>
  </si>
  <si>
    <t>ORC_III_19.1</t>
  </si>
  <si>
    <t>H1+16189</t>
  </si>
  <si>
    <t>I3136</t>
  </si>
  <si>
    <t>ORC_III_21.3</t>
  </si>
  <si>
    <t>HV0+195</t>
  </si>
  <si>
    <t>I3137</t>
  </si>
  <si>
    <t>ORC_IV_17.19</t>
  </si>
  <si>
    <t>Nr. Millbarrow, Winterbourne Monkton, Wiltshire, England</t>
  </si>
  <si>
    <t>I4949</t>
  </si>
  <si>
    <t>DZSWS:C.11a</t>
  </si>
  <si>
    <t>Tinkinswood, Cardiff, Glamorgan, Wales</t>
  </si>
  <si>
    <t>I5359</t>
  </si>
  <si>
    <t>19.210/28.593</t>
  </si>
  <si>
    <t>Cissbury Flint Mine, Worthing, West Sussex, England</t>
  </si>
  <si>
    <t>X2b+226</t>
  </si>
  <si>
    <t>Shaft 27</t>
  </si>
  <si>
    <t>I5370</t>
  </si>
  <si>
    <t>ORC_III 12.10</t>
  </si>
  <si>
    <t>H4a1a2a</t>
  </si>
  <si>
    <t>I5371</t>
  </si>
  <si>
    <t>ORC_II_95.2</t>
  </si>
  <si>
    <t>U5b1</t>
  </si>
  <si>
    <t>I6746</t>
  </si>
  <si>
    <t>Aveline_1/SB350C</t>
  </si>
  <si>
    <t>I6747</t>
  </si>
  <si>
    <t>Carsington_Pasture_1/SB381</t>
  </si>
  <si>
    <t>Fussell's Lodge, Salisbury, Wiltshire, England</t>
  </si>
  <si>
    <t>I2a2</t>
  </si>
  <si>
    <t>I6750</t>
  </si>
  <si>
    <t>PA SK 3332</t>
  </si>
  <si>
    <t>U5b1+16189+@16192</t>
  </si>
  <si>
    <t>I6751</t>
  </si>
  <si>
    <t>PA SK 3324</t>
  </si>
  <si>
    <t>Cave Ha 3, Giggleswick Scar, Yorkshire Dales, England</t>
  </si>
  <si>
    <t>I6755</t>
  </si>
  <si>
    <t>CaveHa3_1/SB467A</t>
  </si>
  <si>
    <t>Jubilee Cave, Langcliffe Scar, Langcliffe, England</t>
  </si>
  <si>
    <t>I2a2a1a1a2</t>
  </si>
  <si>
    <t>I6757</t>
  </si>
  <si>
    <t>Jubilee_cave/SB470A</t>
  </si>
  <si>
    <t>Lesser Kelco Cave, Giggleswick Scar, North Yorkshire, England</t>
  </si>
  <si>
    <t>Burn Ground, Gloucestershire, England</t>
  </si>
  <si>
    <t>U5b2</t>
  </si>
  <si>
    <t>I6760</t>
  </si>
  <si>
    <t>BurnGround/SB488B</t>
  </si>
  <si>
    <t>Skull 4,R3688/130</t>
  </si>
  <si>
    <t>Upper Swell, Chipping Norton, Gloucestershire, England</t>
  </si>
  <si>
    <t>K1a1b1</t>
  </si>
  <si>
    <t>I6762</t>
  </si>
  <si>
    <t>PA SK 1855</t>
  </si>
  <si>
    <t>Gop Cave, Flintshire, Wales</t>
  </si>
  <si>
    <t>I6770</t>
  </si>
  <si>
    <t>Gop_Cave_2/SB577A</t>
  </si>
  <si>
    <t>England</t>
  </si>
  <si>
    <t>Scotland</t>
  </si>
  <si>
    <t>Wales</t>
  </si>
  <si>
    <t>Mathieson et al. 2018</t>
  </si>
  <si>
    <t>Beli Manastir-Popova zemlja</t>
  </si>
  <si>
    <t>C</t>
  </si>
  <si>
    <t>I3498</t>
  </si>
  <si>
    <t>GEN71</t>
  </si>
  <si>
    <t>Kargadur</t>
  </si>
  <si>
    <t>H5a</t>
  </si>
  <si>
    <t>Cardial Ware</t>
  </si>
  <si>
    <t>I5071</t>
  </si>
  <si>
    <t>KG1</t>
  </si>
  <si>
    <t>H7c</t>
  </si>
  <si>
    <t>I5072</t>
  </si>
  <si>
    <t>KG2</t>
  </si>
  <si>
    <t>Zemunica Cave</t>
  </si>
  <si>
    <t>H1</t>
  </si>
  <si>
    <t>I3433</t>
  </si>
  <si>
    <t>I3947</t>
  </si>
  <si>
    <t>E1b1b1a1b1</t>
  </si>
  <si>
    <t>I3948</t>
  </si>
  <si>
    <t>Lipson et al. 2017</t>
  </si>
  <si>
    <t>Lánycsók, Gata-Csatola</t>
  </si>
  <si>
    <t>W5</t>
  </si>
  <si>
    <t>G2a2b2b1a</t>
  </si>
  <si>
    <t>LGCS1a</t>
  </si>
  <si>
    <t>I1880</t>
  </si>
  <si>
    <t>Tiszaszőlős-Domaháza</t>
  </si>
  <si>
    <t>Körös</t>
  </si>
  <si>
    <t>TIDO2a</t>
  </si>
  <si>
    <t>I4971</t>
  </si>
  <si>
    <t>Berettyóújfalu-Morotva-liget</t>
  </si>
  <si>
    <t>..</t>
  </si>
  <si>
    <t>I1508</t>
  </si>
  <si>
    <t>Törökszentmiklós, road 4, site 3</t>
  </si>
  <si>
    <t>GEN68</t>
  </si>
  <si>
    <t>I2794</t>
  </si>
  <si>
    <t>Tiszaszolos-Domahaza</t>
  </si>
  <si>
    <t>I2a1</t>
  </si>
  <si>
    <t>I1507</t>
  </si>
  <si>
    <t>Dzhulyunitsa</t>
  </si>
  <si>
    <t>Bulgaria</t>
  </si>
  <si>
    <t>K1a4b</t>
  </si>
  <si>
    <t>Balkans_Dzhulyunitsa_Neolithic</t>
  </si>
  <si>
    <t>I0706</t>
  </si>
  <si>
    <t>DZHU 10</t>
  </si>
  <si>
    <t>Yabalkovo</t>
  </si>
  <si>
    <t>G2a2a1a2a</t>
  </si>
  <si>
    <t>Bulgaria_Neolithic</t>
  </si>
  <si>
    <t>I0698</t>
  </si>
  <si>
    <t>YABA2,YABA4</t>
  </si>
  <si>
    <t>Balkans_Neolithic</t>
  </si>
  <si>
    <t>I0704</t>
  </si>
  <si>
    <t>DZHU 7</t>
  </si>
  <si>
    <t>Ohoden</t>
  </si>
  <si>
    <t>Bulgaria_EN</t>
  </si>
  <si>
    <t>I1298</t>
  </si>
  <si>
    <t>OH-00,child</t>
  </si>
  <si>
    <t>Krepost</t>
  </si>
  <si>
    <t>Balkans_Krepost_Neolithic</t>
  </si>
  <si>
    <t>I0679</t>
  </si>
  <si>
    <t>Kre 1</t>
  </si>
  <si>
    <t>I2529</t>
  </si>
  <si>
    <t>YABA4</t>
  </si>
  <si>
    <t>T1a1a</t>
  </si>
  <si>
    <t>Balkans_MP_Neolithic</t>
  </si>
  <si>
    <t>I0700</t>
  </si>
  <si>
    <t>MP5</t>
  </si>
  <si>
    <t>T1a1</t>
  </si>
  <si>
    <t>I1108</t>
  </si>
  <si>
    <t>MP1</t>
  </si>
  <si>
    <t>J2b1</t>
  </si>
  <si>
    <t>I1109</t>
  </si>
  <si>
    <t>MP10</t>
  </si>
  <si>
    <t>U5a1c</t>
  </si>
  <si>
    <t>I1113</t>
  </si>
  <si>
    <t>MP3</t>
  </si>
  <si>
    <t>I1295</t>
  </si>
  <si>
    <t>MP13,Burial 18,inventory: S36</t>
  </si>
  <si>
    <t>U5a2</t>
  </si>
  <si>
    <t>I1296</t>
  </si>
  <si>
    <t>MP11</t>
  </si>
  <si>
    <t>H5b</t>
  </si>
  <si>
    <t>I1297</t>
  </si>
  <si>
    <t>MP17,Burial D10,inventory: S29</t>
  </si>
  <si>
    <t>I2215</t>
  </si>
  <si>
    <t>MP9</t>
  </si>
  <si>
    <t>I2216</t>
  </si>
  <si>
    <t>MP15</t>
  </si>
  <si>
    <t>I3879</t>
  </si>
  <si>
    <t>Burial 10,MP6,inventory: S26</t>
  </si>
  <si>
    <t>Bulgaria_Neolithic Early Neolithic</t>
  </si>
  <si>
    <t>I2521</t>
  </si>
  <si>
    <t>No7,No. 7</t>
  </si>
  <si>
    <t>Samovodene</t>
  </si>
  <si>
    <t>I2526</t>
  </si>
  <si>
    <t>S2a</t>
  </si>
  <si>
    <t>Tepecik Ciftlik</t>
  </si>
  <si>
    <t>K1a12a</t>
  </si>
  <si>
    <t>Tep002</t>
  </si>
  <si>
    <t>TP’10 SK 40</t>
  </si>
  <si>
    <t>Tep003</t>
  </si>
  <si>
    <t>TP’09 16 K</t>
  </si>
  <si>
    <t>Tep004</t>
  </si>
  <si>
    <t>TP’10 SK 37</t>
  </si>
  <si>
    <t>Tep006</t>
  </si>
  <si>
    <t>TP’10 SK 21</t>
  </si>
  <si>
    <t>Boncuklu</t>
  </si>
  <si>
    <t>G2a2b2b</t>
  </si>
  <si>
    <t>Bon001</t>
  </si>
  <si>
    <t>ZHF</t>
  </si>
  <si>
    <t>Bon002</t>
  </si>
  <si>
    <t>ZHB</t>
  </si>
  <si>
    <t>Bon004</t>
  </si>
  <si>
    <t>ZHBJ</t>
  </si>
  <si>
    <t>Bon005</t>
  </si>
  <si>
    <t>ZHAF</t>
  </si>
  <si>
    <t>W1c'i</t>
  </si>
  <si>
    <t>Troc10</t>
  </si>
  <si>
    <t>Troc13</t>
  </si>
  <si>
    <t>Szecsenyi-Nagy et al. 2017</t>
  </si>
  <si>
    <t>Fuente Celada, Castilla y León</t>
  </si>
  <si>
    <t>Cel3</t>
  </si>
  <si>
    <t>Alto de Rodilla, Castilla y León</t>
  </si>
  <si>
    <t>Rodi1</t>
  </si>
  <si>
    <t>El Prado de Pancorbo, Burgos</t>
  </si>
  <si>
    <t>K1a4a1</t>
  </si>
  <si>
    <t>E-06-Ind1</t>
  </si>
  <si>
    <t>I1972</t>
  </si>
  <si>
    <t>E-14-Ind2</t>
  </si>
  <si>
    <t>I2199</t>
  </si>
  <si>
    <t>Valdiosera et al. 2018</t>
  </si>
  <si>
    <t>El Portalón/North</t>
  </si>
  <si>
    <t xml:space="preserve">J2b1a </t>
  </si>
  <si>
    <t xml:space="preserve">atp005 </t>
  </si>
  <si>
    <t>N1</t>
  </si>
  <si>
    <t>atp019</t>
  </si>
  <si>
    <t>Gamba et al. 2014*</t>
  </si>
  <si>
    <t>Mittnik et al. 2018</t>
  </si>
  <si>
    <t xml:space="preserve">Kvärlöv, Saxtorp, Skåne </t>
  </si>
  <si>
    <t>Funnel Beaker Culture</t>
  </si>
  <si>
    <t>Saxtorp5158T</t>
  </si>
  <si>
    <t>Saxtorp5164</t>
  </si>
  <si>
    <t>Feldman et al. 2019</t>
  </si>
  <si>
    <t>Aceramic Anatolian Farmers</t>
  </si>
  <si>
    <t>ZHAG</t>
  </si>
  <si>
    <t>BON004.A0101</t>
  </si>
  <si>
    <t>ZMOJ</t>
  </si>
  <si>
    <t>BON014.A0101</t>
  </si>
  <si>
    <t>ZKO</t>
  </si>
  <si>
    <t>BON001.A0101</t>
  </si>
  <si>
    <t>ZHJ</t>
  </si>
  <si>
    <t>BON024.A0101</t>
  </si>
  <si>
    <t>ZHAJ</t>
  </si>
  <si>
    <t>BON034.A0101</t>
  </si>
  <si>
    <t>Villalba-Mouco et al. 2019</t>
  </si>
  <si>
    <t>Fuente Celada, Quintanaduenas, Burgos</t>
  </si>
  <si>
    <t>FUC003</t>
  </si>
  <si>
    <t>UGA-7565</t>
  </si>
  <si>
    <t>Cueva de Chaves, Bastarás, Huesca</t>
  </si>
  <si>
    <t>CHA001</t>
  </si>
  <si>
    <t>GrA-26912</t>
  </si>
  <si>
    <t>R1b</t>
  </si>
  <si>
    <t>CHA002</t>
  </si>
  <si>
    <t>MAMS 29127</t>
  </si>
  <si>
    <t>CHA003</t>
  </si>
  <si>
    <t>D-AMS 015821</t>
  </si>
  <si>
    <t>Tep001</t>
  </si>
  <si>
    <t>Kilinç et al. 2016</t>
  </si>
  <si>
    <t>Kilinç et al. 2017</t>
  </si>
  <si>
    <t>T1a2</t>
  </si>
  <si>
    <t>BAM17b</t>
  </si>
  <si>
    <t>I1878</t>
  </si>
  <si>
    <t>BAM4a</t>
  </si>
  <si>
    <t>I1876</t>
  </si>
  <si>
    <t>R3</t>
  </si>
  <si>
    <t>Croatia Impressa EN</t>
  </si>
  <si>
    <t>Nossa Senhora das Lapas</t>
  </si>
  <si>
    <t>GSL1</t>
  </si>
  <si>
    <t>GSL2</t>
  </si>
  <si>
    <t>GSL3</t>
  </si>
  <si>
    <t>Galeria da Cisterna (Almonda cave)</t>
  </si>
  <si>
    <t>I0820</t>
  </si>
  <si>
    <t>HAL37</t>
  </si>
  <si>
    <t>HAL1</t>
  </si>
  <si>
    <t>I2029</t>
  </si>
  <si>
    <t>HAL31a</t>
  </si>
  <si>
    <t>V1</t>
  </si>
  <si>
    <t>I2016</t>
  </si>
  <si>
    <t>HAL17b</t>
  </si>
  <si>
    <t>K2a</t>
  </si>
  <si>
    <t>I2017</t>
  </si>
  <si>
    <t>HAL18a</t>
  </si>
  <si>
    <t>I2020</t>
  </si>
  <si>
    <t>HAL20b</t>
  </si>
  <si>
    <t>I2021</t>
  </si>
  <si>
    <t>HAL21a</t>
  </si>
  <si>
    <t>I2022</t>
  </si>
  <si>
    <t>HAL22b</t>
  </si>
  <si>
    <t>N1a1a1a3</t>
  </si>
  <si>
    <t>I2026</t>
  </si>
  <si>
    <t>HAL27a</t>
  </si>
  <si>
    <t>I2030</t>
  </si>
  <si>
    <t>HAL32b</t>
  </si>
  <si>
    <t>I2032</t>
  </si>
  <si>
    <t>HAL35b</t>
  </si>
  <si>
    <t>I2036</t>
  </si>
  <si>
    <t>HAL38a</t>
  </si>
  <si>
    <t>I2038</t>
  </si>
  <si>
    <t>HAL40a</t>
  </si>
  <si>
    <t>HAL11</t>
  </si>
  <si>
    <t>HAL12</t>
  </si>
  <si>
    <t>HAL16</t>
  </si>
  <si>
    <t>HAL19</t>
  </si>
  <si>
    <t>HAL30</t>
  </si>
  <si>
    <t>HAL36</t>
  </si>
  <si>
    <t>HAL9</t>
  </si>
  <si>
    <t>HAL34</t>
  </si>
  <si>
    <t>HAL14</t>
  </si>
  <si>
    <t>HAL25</t>
  </si>
  <si>
    <t>HAL3</t>
  </si>
  <si>
    <t>I2037</t>
  </si>
  <si>
    <t>HAL39b</t>
  </si>
  <si>
    <t>HAL5</t>
  </si>
  <si>
    <t>I2008</t>
  </si>
  <si>
    <t>HAL07a</t>
  </si>
  <si>
    <t>G2</t>
  </si>
  <si>
    <t>I2014</t>
  </si>
  <si>
    <t>HAL15a</t>
  </si>
  <si>
    <t>HAL4</t>
  </si>
  <si>
    <t>HAL24</t>
  </si>
  <si>
    <t>Omrak et al. 2016†</t>
  </si>
  <si>
    <t>†Omrak et al. 2016 reported 2 individuals but they have been excluded because they are substantially more recent than the Early Neolithic</t>
  </si>
  <si>
    <r>
      <t xml:space="preserve">Gamba, C. </t>
    </r>
    <r>
      <rPr>
        <i/>
        <sz val="11"/>
        <color theme="1"/>
        <rFont val="Calibri"/>
        <family val="2"/>
        <scheme val="minor"/>
      </rPr>
      <t>et al.</t>
    </r>
    <r>
      <rPr>
        <sz val="11"/>
        <color theme="1"/>
        <rFont val="Calibri"/>
        <family val="2"/>
        <scheme val="minor"/>
      </rPr>
      <t xml:space="preserve"> Genome flux and stasis in a five millennium transect of European prehistory. </t>
    </r>
    <r>
      <rPr>
        <i/>
        <sz val="11"/>
        <color theme="1"/>
        <rFont val="Calibri"/>
        <family val="2"/>
        <scheme val="minor"/>
      </rPr>
      <t xml:space="preserve">Nat. Commun. </t>
    </r>
    <r>
      <rPr>
        <b/>
        <sz val="11"/>
        <color theme="1"/>
        <rFont val="Calibri"/>
        <family val="2"/>
        <scheme val="minor"/>
      </rPr>
      <t>5</t>
    </r>
    <r>
      <rPr>
        <sz val="11"/>
        <color theme="1"/>
        <rFont val="Calibri"/>
        <family val="2"/>
        <scheme val="minor"/>
      </rPr>
      <t xml:space="preserve">, 5257 (2014).  Supp. Info. Dates and haplogroups appear in Supplementary Tables 1 and 12. </t>
    </r>
  </si>
  <si>
    <r>
      <t xml:space="preserve">Kılınç, G.M. </t>
    </r>
    <r>
      <rPr>
        <i/>
        <sz val="11"/>
        <color theme="1"/>
        <rFont val="Calibri"/>
        <family val="2"/>
        <scheme val="minor"/>
      </rPr>
      <t>et al</t>
    </r>
    <r>
      <rPr>
        <sz val="11"/>
        <color theme="1"/>
        <rFont val="Calibri"/>
        <family val="2"/>
        <scheme val="minor"/>
      </rPr>
      <t xml:space="preserve">. Archaeogenomic analysis of the first steps of Neolithization in Anatolia and the Aegean. </t>
    </r>
    <r>
      <rPr>
        <i/>
        <sz val="11"/>
        <color theme="1"/>
        <rFont val="Calibri"/>
        <family val="2"/>
        <scheme val="minor"/>
      </rPr>
      <t>Proc. R. Soc. B</t>
    </r>
    <r>
      <rPr>
        <sz val="11"/>
        <color theme="1"/>
        <rFont val="Calibri"/>
        <family val="2"/>
        <scheme val="minor"/>
      </rPr>
      <t xml:space="preserve"> </t>
    </r>
    <r>
      <rPr>
        <b/>
        <sz val="11"/>
        <color theme="1"/>
        <rFont val="Calibri"/>
        <family val="2"/>
        <scheme val="minor"/>
      </rPr>
      <t>284</t>
    </r>
    <r>
      <rPr>
        <sz val="11"/>
        <color theme="1"/>
        <rFont val="Calibri"/>
        <family val="2"/>
        <scheme val="minor"/>
      </rPr>
      <t>: 20172064 (2017).  Dates and haplogroups appear in Supp. Info.</t>
    </r>
  </si>
  <si>
    <t>Fregel et al. 2018</t>
  </si>
  <si>
    <t>El Toro Cave, Antequera, Malaga</t>
  </si>
  <si>
    <t>TOR.1</t>
  </si>
  <si>
    <t>AEH017</t>
  </si>
  <si>
    <t>G-M201</t>
  </si>
  <si>
    <t>TOR.5</t>
  </si>
  <si>
    <t>T2b3</t>
  </si>
  <si>
    <t>TOR.6</t>
  </si>
  <si>
    <t>TOR.7</t>
  </si>
  <si>
    <t>K1a1</t>
  </si>
  <si>
    <t>TOR.8</t>
  </si>
  <si>
    <t>K1a1a</t>
  </si>
  <si>
    <t>TOR.11</t>
  </si>
  <si>
    <t>AEH097</t>
  </si>
  <si>
    <t>TOR.12</t>
  </si>
  <si>
    <t>AEH098</t>
  </si>
  <si>
    <t>Gibraltar</t>
  </si>
  <si>
    <t>I10942</t>
  </si>
  <si>
    <t>Cueva de los Murciélagos/South</t>
  </si>
  <si>
    <t xml:space="preserve">J1c1b1 </t>
  </si>
  <si>
    <t>MUR</t>
  </si>
  <si>
    <r>
      <t xml:space="preserve">Mathieson, I. </t>
    </r>
    <r>
      <rPr>
        <i/>
        <sz val="11"/>
        <color theme="1"/>
        <rFont val="Calibri"/>
        <family val="2"/>
        <scheme val="minor"/>
      </rPr>
      <t>et al.</t>
    </r>
    <r>
      <rPr>
        <sz val="11"/>
        <color theme="1"/>
        <rFont val="Calibri"/>
        <family val="2"/>
        <scheme val="minor"/>
      </rPr>
      <t xml:space="preserve"> The genomic history of southeastern Europe. </t>
    </r>
    <r>
      <rPr>
        <i/>
        <sz val="11"/>
        <color theme="1"/>
        <rFont val="Calibri"/>
        <family val="2"/>
        <scheme val="minor"/>
      </rPr>
      <t>Nature.</t>
    </r>
    <r>
      <rPr>
        <sz val="11"/>
        <color theme="1"/>
        <rFont val="Calibri"/>
        <family val="2"/>
        <scheme val="minor"/>
      </rPr>
      <t xml:space="preserve"> </t>
    </r>
    <r>
      <rPr>
        <b/>
        <sz val="11"/>
        <color theme="1"/>
        <rFont val="Calibri"/>
        <family val="2"/>
        <scheme val="minor"/>
      </rPr>
      <t>555</t>
    </r>
    <r>
      <rPr>
        <sz val="11"/>
        <color theme="1"/>
        <rFont val="Calibri"/>
        <family val="2"/>
        <scheme val="minor"/>
      </rPr>
      <t>, 197–203 (2018). Dates and haplogroups appear  in Supp. Info. Supplementary Table 1</t>
    </r>
  </si>
  <si>
    <r>
      <t xml:space="preserve">Lipson, M. </t>
    </r>
    <r>
      <rPr>
        <i/>
        <sz val="11"/>
        <color theme="1"/>
        <rFont val="Calibri"/>
        <family val="2"/>
        <scheme val="minor"/>
      </rPr>
      <t>et al.</t>
    </r>
    <r>
      <rPr>
        <sz val="11"/>
        <color theme="1"/>
        <rFont val="Calibri"/>
        <family val="2"/>
        <scheme val="minor"/>
      </rPr>
      <t xml:space="preserve"> Parallel palaeogenomic transects reveal complex genetic history of early European farmers. </t>
    </r>
    <r>
      <rPr>
        <i/>
        <sz val="11"/>
        <color theme="1"/>
        <rFont val="Calibri"/>
        <family val="2"/>
        <scheme val="minor"/>
      </rPr>
      <t>Nature.</t>
    </r>
    <r>
      <rPr>
        <b/>
        <sz val="11"/>
        <color theme="1"/>
        <rFont val="Calibri"/>
        <family val="2"/>
        <scheme val="minor"/>
      </rPr>
      <t>551</t>
    </r>
    <r>
      <rPr>
        <sz val="11"/>
        <color theme="1"/>
        <rFont val="Calibri"/>
        <family val="2"/>
        <scheme val="minor"/>
      </rPr>
      <t>, 368–372 (2017). Dates and haplogroups appear in Supp. Info. In Sample Information.</t>
    </r>
  </si>
  <si>
    <t>I0175</t>
  </si>
  <si>
    <t>BAL16</t>
  </si>
  <si>
    <t>I0176</t>
  </si>
  <si>
    <t>SZEH4</t>
  </si>
  <si>
    <t>CSA09</t>
  </si>
  <si>
    <t>CSA24</t>
  </si>
  <si>
    <t>Lengyel_Neolithic</t>
  </si>
  <si>
    <t>I0796</t>
  </si>
  <si>
    <r>
      <t xml:space="preserve">Mittnik, A. </t>
    </r>
    <r>
      <rPr>
        <i/>
        <sz val="11"/>
        <color theme="1"/>
        <rFont val="Calibri"/>
        <family val="2"/>
        <scheme val="minor"/>
      </rPr>
      <t>et al.</t>
    </r>
    <r>
      <rPr>
        <sz val="11"/>
        <color theme="1"/>
        <rFont val="Calibri"/>
        <family val="2"/>
        <scheme val="minor"/>
      </rPr>
      <t xml:space="preserve">The genetic prehistory of the Baltic Sea region. </t>
    </r>
    <r>
      <rPr>
        <i/>
        <sz val="11"/>
        <color theme="1"/>
        <rFont val="Calibri"/>
        <family val="2"/>
        <scheme val="minor"/>
      </rPr>
      <t>Nat. Commun</t>
    </r>
    <r>
      <rPr>
        <sz val="11"/>
        <color theme="1"/>
        <rFont val="Calibri"/>
        <family val="2"/>
        <scheme val="minor"/>
      </rPr>
      <t xml:space="preserve">. </t>
    </r>
    <r>
      <rPr>
        <b/>
        <sz val="11"/>
        <color theme="1"/>
        <rFont val="Calibri"/>
        <family val="2"/>
        <scheme val="minor"/>
      </rPr>
      <t>9</t>
    </r>
    <r>
      <rPr>
        <sz val="11"/>
        <color theme="1"/>
        <rFont val="Calibri"/>
        <family val="2"/>
        <scheme val="minor"/>
      </rPr>
      <t>, Article number: 442 (2018).  Dates and haplogroups appear in Supp. Info. Supplementary Data 1.</t>
    </r>
  </si>
  <si>
    <r>
      <t xml:space="preserve">Fernández, E. </t>
    </r>
    <r>
      <rPr>
        <i/>
        <sz val="11"/>
        <color theme="1"/>
        <rFont val="Calibri"/>
        <family val="2"/>
        <scheme val="minor"/>
      </rPr>
      <t>et al.</t>
    </r>
    <r>
      <rPr>
        <sz val="11"/>
        <color theme="1"/>
        <rFont val="Calibri"/>
        <family val="2"/>
        <scheme val="minor"/>
      </rPr>
      <t xml:space="preserve"> Ancient DNA analysis of 8,000 B.C. Near Eastern farmers supports an early Neolithic pioneer maritime colonization of mainland Europe through Cyprus and the Aegean Islands. </t>
    </r>
    <r>
      <rPr>
        <i/>
        <sz val="11"/>
        <color theme="1"/>
        <rFont val="Calibri"/>
        <family val="2"/>
        <scheme val="minor"/>
      </rPr>
      <t>PLoS Genet.</t>
    </r>
    <r>
      <rPr>
        <sz val="11"/>
        <color theme="1"/>
        <rFont val="Calibri"/>
        <family val="2"/>
        <scheme val="minor"/>
      </rPr>
      <t xml:space="preserve"> </t>
    </r>
    <r>
      <rPr>
        <b/>
        <sz val="11"/>
        <color theme="1"/>
        <rFont val="Calibri"/>
        <family val="2"/>
        <scheme val="minor"/>
      </rPr>
      <t>10</t>
    </r>
    <r>
      <rPr>
        <sz val="11"/>
        <color theme="1"/>
        <rFont val="Calibri"/>
        <family val="2"/>
        <scheme val="minor"/>
      </rPr>
      <t>, e1004401 (2014). Dates and haplogroups appear in main paper, Table 1.</t>
    </r>
  </si>
  <si>
    <r>
      <t xml:space="preserve">Haak, W. </t>
    </r>
    <r>
      <rPr>
        <i/>
        <sz val="11"/>
        <color theme="1"/>
        <rFont val="Calibri"/>
        <family val="2"/>
        <scheme val="minor"/>
      </rPr>
      <t>et al.</t>
    </r>
    <r>
      <rPr>
        <sz val="11"/>
        <color theme="1"/>
        <rFont val="Calibri"/>
        <family val="2"/>
        <scheme val="minor"/>
      </rPr>
      <t xml:space="preserve"> Ancient DNA from European early Neolithic farmers reveals their Near Eastern affinities. </t>
    </r>
    <r>
      <rPr>
        <i/>
        <sz val="11"/>
        <color theme="1"/>
        <rFont val="Calibri"/>
        <family val="2"/>
        <scheme val="minor"/>
      </rPr>
      <t>PLoS Biol.</t>
    </r>
    <r>
      <rPr>
        <sz val="11"/>
        <color theme="1"/>
        <rFont val="Calibri"/>
        <family val="2"/>
        <scheme val="minor"/>
      </rPr>
      <t xml:space="preserve"> </t>
    </r>
    <r>
      <rPr>
        <b/>
        <sz val="11"/>
        <color theme="1"/>
        <rFont val="Calibri"/>
        <family val="2"/>
        <scheme val="minor"/>
      </rPr>
      <t>8</t>
    </r>
    <r>
      <rPr>
        <sz val="11"/>
        <color theme="1"/>
        <rFont val="Calibri"/>
        <family val="2"/>
        <scheme val="minor"/>
      </rPr>
      <t>, e1000536 (2010). Dates and haplogroups appear in Table 1 main paper.</t>
    </r>
  </si>
  <si>
    <r>
      <t xml:space="preserve">Olalde, I. </t>
    </r>
    <r>
      <rPr>
        <i/>
        <sz val="11"/>
        <color theme="1"/>
        <rFont val="Calibri"/>
        <family val="2"/>
        <scheme val="minor"/>
      </rPr>
      <t>et al</t>
    </r>
    <r>
      <rPr>
        <sz val="11"/>
        <color theme="1"/>
        <rFont val="Calibri"/>
        <family val="2"/>
        <scheme val="minor"/>
      </rPr>
      <t xml:space="preserve">. A Common Genetic Origin for Early Farmers from Mediterranean Cardial and Central European LBK Cultures. Mol. Biol. Evol. </t>
    </r>
    <r>
      <rPr>
        <b/>
        <sz val="11"/>
        <color theme="1"/>
        <rFont val="Calibri"/>
        <family val="2"/>
        <scheme val="minor"/>
      </rPr>
      <t>32</t>
    </r>
    <r>
      <rPr>
        <sz val="11"/>
        <color theme="1"/>
        <rFont val="Calibri"/>
        <family val="2"/>
        <scheme val="minor"/>
      </rPr>
      <t>, 3132-3142 (2015). Dates and haplogroups appear in main paper Table 1, and Supp. Data Tables S1 and S5.</t>
    </r>
  </si>
  <si>
    <t>Gökhem2</t>
  </si>
  <si>
    <t>Gökhem7</t>
  </si>
  <si>
    <t>Gökhem5</t>
  </si>
  <si>
    <t>Gökhem4</t>
  </si>
  <si>
    <r>
      <t xml:space="preserve">Szécsény-Nagy, A. </t>
    </r>
    <r>
      <rPr>
        <i/>
        <sz val="11"/>
        <color theme="1"/>
        <rFont val="Calibri"/>
        <family val="2"/>
        <scheme val="minor"/>
      </rPr>
      <t>et al</t>
    </r>
    <r>
      <rPr>
        <sz val="11"/>
        <color theme="1"/>
        <rFont val="Calibri"/>
        <family val="2"/>
        <scheme val="minor"/>
      </rPr>
      <t xml:space="preserve">. Tracing the genetic origin of Europe's first farmers reveals insights into their social organizations. </t>
    </r>
    <r>
      <rPr>
        <i/>
        <sz val="11"/>
        <color theme="1"/>
        <rFont val="Calibri"/>
        <family val="2"/>
        <scheme val="minor"/>
      </rPr>
      <t>Proc. R. Soc. B.</t>
    </r>
    <r>
      <rPr>
        <sz val="11"/>
        <color theme="1"/>
        <rFont val="Calibri"/>
        <family val="2"/>
        <scheme val="minor"/>
      </rPr>
      <t xml:space="preserve"> </t>
    </r>
    <r>
      <rPr>
        <b/>
        <sz val="11"/>
        <color theme="1"/>
        <rFont val="Calibri"/>
        <family val="2"/>
        <scheme val="minor"/>
      </rPr>
      <t>282</t>
    </r>
    <r>
      <rPr>
        <sz val="11"/>
        <color theme="1"/>
        <rFont val="Calibri"/>
        <family val="2"/>
        <scheme val="minor"/>
      </rPr>
      <t>, 20150339 (2015). Dates and haplogroups appear in Supp. Info., Data S2 and S12.</t>
    </r>
  </si>
  <si>
    <r>
      <t xml:space="preserve">Mathieson, I. </t>
    </r>
    <r>
      <rPr>
        <i/>
        <sz val="11"/>
        <color theme="1"/>
        <rFont val="Calibri"/>
        <family val="2"/>
        <scheme val="minor"/>
      </rPr>
      <t>et al.</t>
    </r>
    <r>
      <rPr>
        <sz val="11"/>
        <color theme="1"/>
        <rFont val="Calibri"/>
        <family val="2"/>
        <scheme val="minor"/>
      </rPr>
      <t xml:space="preserve"> Genome-wide patterns of selection in 230 ancient Eurasians. </t>
    </r>
    <r>
      <rPr>
        <i/>
        <sz val="11"/>
        <color theme="1"/>
        <rFont val="Calibri"/>
        <family val="2"/>
        <scheme val="minor"/>
      </rPr>
      <t>Nature.</t>
    </r>
    <r>
      <rPr>
        <sz val="11"/>
        <color theme="1"/>
        <rFont val="Calibri"/>
        <family val="2"/>
        <scheme val="minor"/>
      </rPr>
      <t xml:space="preserve"> </t>
    </r>
    <r>
      <rPr>
        <b/>
        <sz val="11"/>
        <color theme="1"/>
        <rFont val="Calibri"/>
        <family val="2"/>
        <scheme val="minor"/>
      </rPr>
      <t>528</t>
    </r>
    <r>
      <rPr>
        <sz val="11"/>
        <color theme="1"/>
        <rFont val="Calibri"/>
        <family val="2"/>
        <scheme val="minor"/>
      </rPr>
      <t>, 499–503 (2015). Dates and haplogroups appear in Supp. Data 1.</t>
    </r>
  </si>
  <si>
    <t>Grotta Continenza</t>
  </si>
  <si>
    <t>Italy</t>
  </si>
  <si>
    <t>R2</t>
  </si>
  <si>
    <t>K1a3</t>
  </si>
  <si>
    <t>R8</t>
  </si>
  <si>
    <t>T2c1+146</t>
  </si>
  <si>
    <t>R10</t>
  </si>
  <si>
    <t>G-L91</t>
  </si>
  <si>
    <t>R9</t>
  </si>
  <si>
    <t>Ripabianca di Monterado</t>
  </si>
  <si>
    <t>H2a</t>
  </si>
  <si>
    <t>Neolithic</t>
  </si>
  <si>
    <t>R18</t>
  </si>
  <si>
    <t>U5b3a1</t>
  </si>
  <si>
    <t>J-L26</t>
  </si>
  <si>
    <t>R19</t>
  </si>
  <si>
    <t>U8b1b</t>
  </si>
  <si>
    <t>J-M304</t>
  </si>
  <si>
    <t>R17</t>
  </si>
  <si>
    <t>U5b2b3</t>
  </si>
  <si>
    <t>R16</t>
  </si>
  <si>
    <t>R-M343</t>
  </si>
  <si>
    <t>R6</t>
  </si>
  <si>
    <t>Antonio et al. 2019</t>
  </si>
  <si>
    <t>Cârcea</t>
  </si>
  <si>
    <t>Romania</t>
  </si>
  <si>
    <t>Gura Baciului</t>
  </si>
  <si>
    <t>Negrileşti</t>
  </si>
  <si>
    <t>Malak Preslavets 1</t>
  </si>
  <si>
    <t>Malak Preslavets 2</t>
  </si>
  <si>
    <t>Malak Preslavets 3</t>
  </si>
  <si>
    <t>Malak Preslavets 4</t>
  </si>
  <si>
    <t>Malak Preslavets 5</t>
  </si>
  <si>
    <t>Malak Preslavets 6</t>
  </si>
  <si>
    <t>Malak Preslavets 7</t>
  </si>
  <si>
    <t>Malak Preslavets 8</t>
  </si>
  <si>
    <t>Malak Preslavets 9</t>
  </si>
  <si>
    <t>Malak Preslavets 10</t>
  </si>
  <si>
    <t>Nikitin el al. 2019</t>
  </si>
  <si>
    <t>Austria</t>
  </si>
  <si>
    <t>I6912</t>
  </si>
  <si>
    <t>I6913</t>
  </si>
  <si>
    <t>I6914</t>
  </si>
  <si>
    <t>BT</t>
  </si>
  <si>
    <t>CT</t>
  </si>
  <si>
    <t>U5a1</t>
  </si>
  <si>
    <t>G2a2a1a</t>
  </si>
  <si>
    <t>Brunn 2, Brunn am Gebirge Wolfholz</t>
  </si>
  <si>
    <t>Nikitin et al. 2019</t>
  </si>
  <si>
    <r>
      <t xml:space="preserve">Nikitin, A.G. et </t>
    </r>
    <r>
      <rPr>
        <i/>
        <sz val="11"/>
        <color theme="1"/>
        <rFont val="Calibri"/>
        <family val="2"/>
        <scheme val="minor"/>
      </rPr>
      <t>al.</t>
    </r>
    <r>
      <rPr>
        <sz val="11"/>
        <color theme="1"/>
        <rFont val="Calibri"/>
        <family val="2"/>
        <scheme val="minor"/>
      </rPr>
      <t xml:space="preserve"> Interactions between earliest Linearbandkeramik farmers and central European hunter gatherers at the dawn of European Neolithization. </t>
    </r>
    <r>
      <rPr>
        <i/>
        <sz val="11"/>
        <color theme="1"/>
        <rFont val="Calibri"/>
        <family val="2"/>
        <scheme val="minor"/>
      </rPr>
      <t>Scientific Reports.</t>
    </r>
    <r>
      <rPr>
        <b/>
        <sz val="11"/>
        <color theme="1"/>
        <rFont val="Calibri"/>
        <family val="2"/>
        <scheme val="minor"/>
      </rPr>
      <t>9</t>
    </r>
    <r>
      <rPr>
        <sz val="11"/>
        <color theme="1"/>
        <rFont val="Calibri"/>
        <family val="2"/>
        <scheme val="minor"/>
      </rPr>
      <t xml:space="preserve">, Article number: 19544 (2019). </t>
    </r>
  </si>
  <si>
    <t>Malmström et al. 2019</t>
  </si>
  <si>
    <t>Rössberga</t>
  </si>
  <si>
    <t>J1c5</t>
  </si>
  <si>
    <t>IJ-M429</t>
  </si>
  <si>
    <t>ros3</t>
  </si>
  <si>
    <t>ros5</t>
  </si>
  <si>
    <r>
      <t xml:space="preserve">Malmström, H. </t>
    </r>
    <r>
      <rPr>
        <i/>
        <sz val="11"/>
        <color theme="1"/>
        <rFont val="Calibri"/>
        <family val="2"/>
        <scheme val="minor"/>
      </rPr>
      <t>et al</t>
    </r>
    <r>
      <rPr>
        <sz val="11"/>
        <color theme="1"/>
        <rFont val="Calibri"/>
        <family val="2"/>
        <scheme val="minor"/>
      </rPr>
      <t xml:space="preserve">. Ancient mitochondrial DNA from the northern fringe of the Neolithic farming expansion in Europe sheds light on the dispersion process. </t>
    </r>
    <r>
      <rPr>
        <i/>
        <sz val="11"/>
        <color theme="1"/>
        <rFont val="Calibri"/>
        <family val="2"/>
        <scheme val="minor"/>
      </rPr>
      <t>Philos. Trans. R. Soc. Lond., B, Biol. Sci.</t>
    </r>
    <r>
      <rPr>
        <sz val="11"/>
        <color theme="1"/>
        <rFont val="Calibri"/>
        <family val="2"/>
        <scheme val="minor"/>
      </rPr>
      <t xml:space="preserve"> </t>
    </r>
    <r>
      <rPr>
        <b/>
        <sz val="11"/>
        <color theme="1"/>
        <rFont val="Calibri"/>
        <family val="2"/>
        <scheme val="minor"/>
      </rPr>
      <t>370</t>
    </r>
    <r>
      <rPr>
        <sz val="11"/>
        <color theme="1"/>
        <rFont val="Calibri"/>
        <family val="2"/>
        <scheme val="minor"/>
      </rPr>
      <t xml:space="preserve">, 20130373 (2015). Dates and haplogroups appear in main paper Table 1 p5. </t>
    </r>
  </si>
  <si>
    <t>UZZ61</t>
  </si>
  <si>
    <t>Sicily EN</t>
  </si>
  <si>
    <t>UZZ33</t>
  </si>
  <si>
    <t>UZZ34</t>
  </si>
  <si>
    <t>UZZ74</t>
  </si>
  <si>
    <t>UZZ75</t>
  </si>
  <si>
    <t>Mor5</t>
  </si>
  <si>
    <t>Morschwiller-le-Bas</t>
  </si>
  <si>
    <t>T2b23</t>
  </si>
  <si>
    <t>Mor6</t>
  </si>
  <si>
    <t>H3q1</t>
  </si>
  <si>
    <t>Schwindratzheim</t>
  </si>
  <si>
    <t>Schw72-16</t>
  </si>
  <si>
    <t>X2b</t>
  </si>
  <si>
    <t>BRE447</t>
  </si>
  <si>
    <t>LARZ4</t>
  </si>
  <si>
    <t>Menneville</t>
  </si>
  <si>
    <t>MDV248</t>
  </si>
  <si>
    <t>Schw432</t>
  </si>
  <si>
    <t>France</t>
  </si>
  <si>
    <t>Brunel et al. 2020</t>
  </si>
  <si>
    <t>Pendimoun</t>
  </si>
  <si>
    <t xml:space="preserve">PEN003 </t>
  </si>
  <si>
    <t>PEN003.A0101</t>
  </si>
  <si>
    <t>I2a1a2</t>
  </si>
  <si>
    <t>PEN001_real2</t>
  </si>
  <si>
    <t xml:space="preserve">LBR001 </t>
  </si>
  <si>
    <t>LBR001.A0101</t>
  </si>
  <si>
    <t>Les Bréguières</t>
  </si>
  <si>
    <t>I2a1b1a1b</t>
  </si>
  <si>
    <t xml:space="preserve">LBR002 </t>
  </si>
  <si>
    <t>LBR002.A0101</t>
  </si>
  <si>
    <t xml:space="preserve">LBR003 </t>
  </si>
  <si>
    <t>LBR003.A0101</t>
  </si>
  <si>
    <t xml:space="preserve">LBR004 </t>
  </si>
  <si>
    <t>LBR004.A0101</t>
  </si>
  <si>
    <t>U8a1</t>
  </si>
  <si>
    <t xml:space="preserve">LBR005 </t>
  </si>
  <si>
    <t>LBR005.merged</t>
  </si>
  <si>
    <t>K1a2b</t>
  </si>
  <si>
    <t>Rivollat et al. 2020</t>
  </si>
  <si>
    <r>
      <t xml:space="preserve">Rivollat, M. et al. Ancient genome-wide DNA from France highlights the complexity of interactions between Mesolithic hunter-gatherers and Neolithic farmers. </t>
    </r>
    <r>
      <rPr>
        <i/>
        <sz val="11"/>
        <color theme="1"/>
        <rFont val="Calibri"/>
        <family val="2"/>
        <scheme val="minor"/>
      </rPr>
      <t>Sci. Adv.</t>
    </r>
    <r>
      <rPr>
        <sz val="11"/>
        <color theme="1"/>
        <rFont val="Calibri"/>
        <family val="2"/>
        <scheme val="minor"/>
      </rPr>
      <t xml:space="preserve"> </t>
    </r>
    <r>
      <rPr>
        <b/>
        <sz val="11"/>
        <color theme="1"/>
        <rFont val="Calibri"/>
        <family val="2"/>
        <scheme val="minor"/>
      </rPr>
      <t xml:space="preserve">6, </t>
    </r>
    <r>
      <rPr>
        <sz val="11"/>
        <color theme="1"/>
        <rFont val="Calibri"/>
        <family val="2"/>
        <scheme val="minor"/>
      </rPr>
      <t>Article number : eaaz5344 (2020). Dates and haplogroups appear in Supp. Info. Table S1.</t>
    </r>
  </si>
  <si>
    <r>
      <t xml:space="preserve">Brandt, G. </t>
    </r>
    <r>
      <rPr>
        <i/>
        <sz val="11"/>
        <color theme="1"/>
        <rFont val="Calibri"/>
        <family val="2"/>
        <scheme val="minor"/>
      </rPr>
      <t>et al.</t>
    </r>
    <r>
      <rPr>
        <sz val="11"/>
        <color theme="1"/>
        <rFont val="Calibri"/>
        <family val="2"/>
        <scheme val="minor"/>
      </rPr>
      <t xml:space="preserve"> Ancient DNA reveals key stages in the formation of central European mitochondrial genetic diversity. </t>
    </r>
    <r>
      <rPr>
        <i/>
        <sz val="11"/>
        <color theme="1"/>
        <rFont val="Calibri"/>
        <family val="2"/>
        <scheme val="minor"/>
      </rPr>
      <t xml:space="preserve">Science. </t>
    </r>
    <r>
      <rPr>
        <b/>
        <sz val="11"/>
        <color theme="1"/>
        <rFont val="Calibri"/>
        <family val="2"/>
        <scheme val="minor"/>
      </rPr>
      <t>342</t>
    </r>
    <r>
      <rPr>
        <sz val="11"/>
        <color theme="1"/>
        <rFont val="Calibri"/>
        <family val="2"/>
        <scheme val="minor"/>
      </rPr>
      <t>, 257-261 (2013). Dates and haplogroups appear in Supp. Info. Table S1 and Table S4.</t>
    </r>
  </si>
  <si>
    <t>Brunel, S. et al. Ancient genomes from present-day France unveil 7,000 years of its demographic history. PNAS. 117 (23), 12791–12798 (2020). Dates and haplogroups appear in Suppl. Info. Database 1.</t>
  </si>
  <si>
    <t>XN191</t>
  </si>
  <si>
    <t>Stuttgart-Mühlhausen II</t>
  </si>
  <si>
    <t>I1</t>
  </si>
  <si>
    <t>XN167</t>
  </si>
  <si>
    <t>Stuttgart-Mühlhausen I</t>
  </si>
  <si>
    <t>XN183</t>
  </si>
  <si>
    <t>XN182</t>
  </si>
  <si>
    <t xml:space="preserve">SCH016 </t>
  </si>
  <si>
    <t>SCH016.A0101</t>
  </si>
  <si>
    <t>Schwetzingen</t>
  </si>
  <si>
    <t>C1a2b</t>
  </si>
  <si>
    <t>XN188</t>
  </si>
  <si>
    <t xml:space="preserve">SMH004 </t>
  </si>
  <si>
    <t>XN164</t>
  </si>
  <si>
    <t>XN171</t>
  </si>
  <si>
    <t>XN172</t>
  </si>
  <si>
    <t>XN165</t>
  </si>
  <si>
    <t>XN224</t>
  </si>
  <si>
    <t>XN168</t>
  </si>
  <si>
    <t>XN175</t>
  </si>
  <si>
    <t>XN206</t>
  </si>
  <si>
    <t>M ?</t>
  </si>
  <si>
    <t>XN169</t>
  </si>
  <si>
    <t xml:space="preserve">SCH018 </t>
  </si>
  <si>
    <t>SCH018.A0101</t>
  </si>
  <si>
    <t>XN180</t>
  </si>
  <si>
    <t>XN211</t>
  </si>
  <si>
    <t xml:space="preserve">HBS007 </t>
  </si>
  <si>
    <t>HBS007.B0101</t>
  </si>
  <si>
    <t>Halberstadt</t>
  </si>
  <si>
    <t>H2a2</t>
  </si>
  <si>
    <t>XN173</t>
  </si>
  <si>
    <t>U5a2d</t>
  </si>
  <si>
    <t>XN170</t>
  </si>
  <si>
    <t xml:space="preserve">HBS002 </t>
  </si>
  <si>
    <t>HBS002.A0101</t>
  </si>
  <si>
    <t>H2a2a1</t>
  </si>
  <si>
    <t>XN215</t>
  </si>
  <si>
    <t>XN174</t>
  </si>
  <si>
    <t>Great circle</t>
  </si>
  <si>
    <t>sea-seek.com</t>
  </si>
  <si>
    <t>Oldest archaeological site</t>
  </si>
  <si>
    <t xml:space="preserve">Cova de la Sarsa, València </t>
  </si>
  <si>
    <t>CS7675</t>
  </si>
  <si>
    <t>Cova de l'Or, Alacant</t>
  </si>
  <si>
    <t>H3C6</t>
  </si>
  <si>
    <t>Greece</t>
  </si>
  <si>
    <t>Revenia</t>
  </si>
  <si>
    <t>Rev5</t>
  </si>
  <si>
    <t>Lat.</t>
  </si>
  <si>
    <t xml:space="preserve">Long. </t>
  </si>
  <si>
    <t>Los Cascajos †</t>
  </si>
  <si>
    <t xml:space="preserve"> </t>
  </si>
  <si>
    <t>Sánchez-Quinto et al. 2019</t>
  </si>
  <si>
    <r>
      <t xml:space="preserve">Skoglund, P. </t>
    </r>
    <r>
      <rPr>
        <i/>
        <sz val="11"/>
        <color theme="1"/>
        <rFont val="Calibri"/>
        <family val="2"/>
        <scheme val="minor"/>
      </rPr>
      <t>et al.</t>
    </r>
    <r>
      <rPr>
        <sz val="11"/>
        <color theme="1"/>
        <rFont val="Calibri"/>
        <family val="2"/>
        <scheme val="minor"/>
      </rPr>
      <t xml:space="preserve"> Genomic Diversity and Admixture Differs for Stone-Age Scandinavian Foragers and Farmers. </t>
    </r>
    <r>
      <rPr>
        <i/>
        <sz val="11"/>
        <color theme="1"/>
        <rFont val="Calibri"/>
        <family val="2"/>
        <scheme val="minor"/>
      </rPr>
      <t>Science</t>
    </r>
    <r>
      <rPr>
        <sz val="11"/>
        <color theme="1"/>
        <rFont val="Calibri"/>
        <family val="2"/>
        <scheme val="minor"/>
      </rPr>
      <t xml:space="preserve">. </t>
    </r>
    <r>
      <rPr>
        <b/>
        <sz val="11"/>
        <color theme="1"/>
        <rFont val="Calibri"/>
        <family val="2"/>
        <scheme val="minor"/>
      </rPr>
      <t>344</t>
    </r>
    <r>
      <rPr>
        <sz val="11"/>
        <color theme="1"/>
        <rFont val="Calibri"/>
        <family val="2"/>
        <scheme val="minor"/>
      </rPr>
      <t xml:space="preserve">, 747-750 (2014). Dates and haplogroups appear in main paper Table 1 p747. </t>
    </r>
  </si>
  <si>
    <t>Casssidy et al. 2020</t>
  </si>
  <si>
    <r>
      <t>Sánchez-Quinto, F.</t>
    </r>
    <r>
      <rPr>
        <i/>
        <sz val="11"/>
        <color theme="1"/>
        <rFont val="Calibri"/>
        <family val="2"/>
        <scheme val="minor"/>
      </rPr>
      <t xml:space="preserve"> et al.</t>
    </r>
    <r>
      <rPr>
        <sz val="11"/>
        <color theme="1"/>
        <rFont val="Calibri"/>
        <family val="2"/>
        <scheme val="minor"/>
      </rPr>
      <t xml:space="preserve"> Megalithic tombs in western and northern Neolithic Europe were linked o a kindred society. </t>
    </r>
    <r>
      <rPr>
        <i/>
        <sz val="11"/>
        <color theme="1"/>
        <rFont val="Calibri"/>
        <family val="2"/>
        <scheme val="minor"/>
      </rPr>
      <t>PNAS</t>
    </r>
    <r>
      <rPr>
        <b/>
        <sz val="11"/>
        <color theme="1"/>
        <rFont val="Calibri"/>
        <family val="2"/>
        <scheme val="minor"/>
      </rPr>
      <t>116</t>
    </r>
    <r>
      <rPr>
        <sz val="11"/>
        <color theme="1"/>
        <rFont val="Calibri"/>
        <family val="2"/>
        <scheme val="minor"/>
      </rPr>
      <t>, 9469-9474 (2019).</t>
    </r>
  </si>
  <si>
    <r>
      <t xml:space="preserve">Cassidy, L. M. </t>
    </r>
    <r>
      <rPr>
        <i/>
        <sz val="11"/>
        <color theme="1"/>
        <rFont val="Calibri"/>
        <family val="2"/>
        <scheme val="minor"/>
      </rPr>
      <t>et al.</t>
    </r>
    <r>
      <rPr>
        <sz val="11"/>
        <color theme="1"/>
        <rFont val="Calibri"/>
        <family val="2"/>
        <scheme val="minor"/>
      </rPr>
      <t xml:space="preserve">A dynastic elite in monumental Neolithic society. </t>
    </r>
    <r>
      <rPr>
        <i/>
        <sz val="11"/>
        <color theme="1"/>
        <rFont val="Calibri"/>
        <family val="2"/>
        <scheme val="minor"/>
      </rPr>
      <t>Nature</t>
    </r>
    <r>
      <rPr>
        <b/>
        <sz val="11"/>
        <color theme="1"/>
        <rFont val="Calibri"/>
        <family val="2"/>
        <scheme val="minor"/>
      </rPr>
      <t>582</t>
    </r>
    <r>
      <rPr>
        <sz val="11"/>
        <color theme="1"/>
        <rFont val="Calibri"/>
        <family val="2"/>
        <scheme val="minor"/>
      </rPr>
      <t>, 384-388 (2020).</t>
    </r>
  </si>
  <si>
    <t>Aveline’s Hole is a cave</t>
  </si>
  <si>
    <t>Carsington Pasture Cave</t>
  </si>
  <si>
    <t>The Cave Ha Complex refers to a group of four rock shelters</t>
  </si>
  <si>
    <t>Jubilee Cave (also known as Tratman’s Cave)</t>
  </si>
  <si>
    <t>UK. Ogof yr ychen (‘Ox cave’) is one of a series of caves on Caldey</t>
  </si>
  <si>
    <t>Gop Cave consists of a wide rockshelter that contracts into a narrow passageway</t>
  </si>
  <si>
    <t>Banbury_Lane;_Northamptonshire;_England</t>
  </si>
  <si>
    <t>K1a3a1</t>
  </si>
  <si>
    <t>England_N_CP</t>
  </si>
  <si>
    <t>I0518</t>
  </si>
  <si>
    <t>NBL11_2016.1</t>
  </si>
  <si>
    <t>I0519</t>
  </si>
  <si>
    <t>NBL11_2011.2</t>
  </si>
  <si>
    <t>U5a2c</t>
  </si>
  <si>
    <t>I0520</t>
  </si>
  <si>
    <t>NBL11_2002.1</t>
  </si>
  <si>
    <t>Eton_Rowing_Course;_Buckinghamshire;_England</t>
  </si>
  <si>
    <t>I2606</t>
  </si>
  <si>
    <t>SK_5856_(DBC_96)</t>
  </si>
  <si>
    <t>Totty_Pot;_Cheddar;_Somerset;_England</t>
  </si>
  <si>
    <t>I5374</t>
  </si>
  <si>
    <t>TP_2004.9/257</t>
  </si>
  <si>
    <t>Distillery_Cave;_Oban;_Argyll_and_Bute;_Scotland</t>
  </si>
  <si>
    <t>U5a2+16194</t>
  </si>
  <si>
    <t>Scotland_N_CP</t>
  </si>
  <si>
    <t>I2660</t>
  </si>
  <si>
    <t>GENSCOT29</t>
  </si>
  <si>
    <t>Balintore</t>
  </si>
  <si>
    <t>Scottish_MN</t>
  </si>
  <si>
    <t>bal004</t>
  </si>
  <si>
    <t>Balintore4</t>
  </si>
  <si>
    <t>Raschoille_Cave;_Oban;_Argyll_and_Bute;_Scotland</t>
  </si>
  <si>
    <t>I3138</t>
  </si>
  <si>
    <t>ORC_IVa_87.6</t>
  </si>
  <si>
    <t>Rhos_Ddigre;_Llanarmon-yn-Iâl;_Denbighshire;_Wales</t>
  </si>
  <si>
    <t>Wales_N_CP</t>
  </si>
  <si>
    <t>I5358</t>
  </si>
  <si>
    <t>29.607/12</t>
  </si>
  <si>
    <t>Burn Ground is a megalithic tomb</t>
  </si>
  <si>
    <t>The Whitehawk causewayed enclosure is a scheduled ancient monument</t>
  </si>
  <si>
    <t>Coldrum, Trottiscliffe, Kent, England</t>
  </si>
  <si>
    <t>I6753</t>
  </si>
  <si>
    <t>Coldrum_1</t>
  </si>
  <si>
    <t>Coldrum is a megalithic chambered tomb</t>
  </si>
  <si>
    <t>Little Lodge is a megalithic chambered tomb</t>
  </si>
  <si>
    <t>Scheib et al. 2019</t>
  </si>
  <si>
    <t>Trumpington Meadows, Cambridgeshire, UK</t>
  </si>
  <si>
    <t>K1a + 195</t>
  </si>
  <si>
    <t>I2d-Y3709 / I2a2a</t>
  </si>
  <si>
    <t>Knowe of Midhowe</t>
  </si>
  <si>
    <t>H5s (H5)</t>
  </si>
  <si>
    <t>mid002</t>
  </si>
  <si>
    <t>Midhowe1</t>
  </si>
  <si>
    <t>Unstan;_Orkney;_Scotland</t>
  </si>
  <si>
    <t>J1c9</t>
  </si>
  <si>
    <t>I7554</t>
  </si>
  <si>
    <t>NMS_Unreg_1</t>
  </si>
  <si>
    <t>Point_of_Cott;_Orkney;_Scotland</t>
  </si>
  <si>
    <t>I2980</t>
  </si>
  <si>
    <t>GENSCOT78</t>
  </si>
  <si>
    <t>Knowe of Lairo</t>
  </si>
  <si>
    <t>U5b1h</t>
  </si>
  <si>
    <t>lai001</t>
  </si>
  <si>
    <t>Lairo1</t>
  </si>
  <si>
    <t>mid001</t>
  </si>
  <si>
    <t>Midhowe2</t>
  </si>
  <si>
    <t>Holm_of_Papa_Westray_North;_Orkney;_Scotland</t>
  </si>
  <si>
    <t>I2651</t>
  </si>
  <si>
    <t>GENSCOT11</t>
  </si>
  <si>
    <t>Isbister;_Orkney;_Scotland</t>
  </si>
  <si>
    <t>I3085</t>
  </si>
  <si>
    <t>GENSCOT74</t>
  </si>
  <si>
    <t>U5a2c3</t>
  </si>
  <si>
    <t>I2934</t>
  </si>
  <si>
    <t>GENSCOT72</t>
  </si>
  <si>
    <t>I2978</t>
  </si>
  <si>
    <t>GENSCOT76</t>
  </si>
  <si>
    <t>I2935</t>
  </si>
  <si>
    <t>GENSCOT73</t>
  </si>
  <si>
    <t>I2979</t>
  </si>
  <si>
    <t>GENSCOT77</t>
  </si>
  <si>
    <t>Quoyness;_Orkney;_Scotland</t>
  </si>
  <si>
    <t>I2631</t>
  </si>
  <si>
    <t>GENSCOT03</t>
  </si>
  <si>
    <t>J1c1b</t>
  </si>
  <si>
    <t>I2</t>
  </si>
  <si>
    <t>I2629</t>
  </si>
  <si>
    <t>GENSCOT01</t>
  </si>
  <si>
    <t>I2933</t>
  </si>
  <si>
    <t>GENSCOT71</t>
  </si>
  <si>
    <t>I2977</t>
  </si>
  <si>
    <t>GENSCOT75</t>
  </si>
  <si>
    <t>I2630</t>
  </si>
  <si>
    <t>GENSCOT02</t>
  </si>
  <si>
    <t>I2932</t>
  </si>
  <si>
    <t>GENSCOT70</t>
  </si>
  <si>
    <t>Annagh</t>
  </si>
  <si>
    <t>Ireland</t>
  </si>
  <si>
    <t>I2a1b1a1a1~(+Y3712)</t>
  </si>
  <si>
    <t>Middle Neolithic</t>
  </si>
  <si>
    <t>ANN1</t>
  </si>
  <si>
    <t>Annagh1</t>
  </si>
  <si>
    <t>Natural Cavern with 
Linkardstown type pottery</t>
  </si>
  <si>
    <t>H4a1a1</t>
  </si>
  <si>
    <t>I2a1b1a1a1~(+)</t>
  </si>
  <si>
    <t>ANN2</t>
  </si>
  <si>
    <t>Annagh2</t>
  </si>
  <si>
    <t>Ardcrony</t>
  </si>
  <si>
    <t>I2a1a2a1a2(-)</t>
  </si>
  <si>
    <t>ARD2</t>
  </si>
  <si>
    <t>Ardcroney2</t>
  </si>
  <si>
    <t>Linkardstown Cist</t>
  </si>
  <si>
    <t>Ashleypark</t>
  </si>
  <si>
    <t>K2a9</t>
  </si>
  <si>
    <t>I2a1b1a1a1~(+L1193)</t>
  </si>
  <si>
    <t>ASH1</t>
  </si>
  <si>
    <t>Ashleypark1</t>
  </si>
  <si>
    <t>Linkardstown Cist using 
modified natural limestone feature</t>
  </si>
  <si>
    <t>I2a1a1b~(+)</t>
  </si>
  <si>
    <t>Early-Middle Neolithic</t>
  </si>
  <si>
    <t>ASH3</t>
  </si>
  <si>
    <t>Ashleypark3</t>
  </si>
  <si>
    <t>Cassidy et al. 2016</t>
  </si>
  <si>
    <t>Ballynahatty, Co. Down</t>
  </si>
  <si>
    <t>Middle to Late Neolithic</t>
  </si>
  <si>
    <t>BA64</t>
  </si>
  <si>
    <t>Ballynahatty</t>
  </si>
  <si>
    <t>Carrowkeel</t>
  </si>
  <si>
    <t>W5b</t>
  </si>
  <si>
    <t>Late Neolithic</t>
  </si>
  <si>
    <t>CAK530</t>
  </si>
  <si>
    <t>Carrowkeel530</t>
  </si>
  <si>
    <t>Passage Tomb</t>
  </si>
  <si>
    <t>I2a1b1a1a1(+)</t>
  </si>
  <si>
    <t>CAK531</t>
  </si>
  <si>
    <t>Carrowkeel531</t>
  </si>
  <si>
    <t>I2a1b1a1a1~(+,-L1193,-Y3712)</t>
  </si>
  <si>
    <t>CAK532</t>
  </si>
  <si>
    <t>Carrowkeel532</t>
  </si>
  <si>
    <t>CAK533</t>
  </si>
  <si>
    <t>Carrowkeel533</t>
  </si>
  <si>
    <t>I2a1b1a1a1~(+*)</t>
  </si>
  <si>
    <t>CAK68</t>
  </si>
  <si>
    <t>Carrowkeel68</t>
  </si>
  <si>
    <t>Carrowmore</t>
  </si>
  <si>
    <t xml:space="preserve">car004 </t>
  </si>
  <si>
    <t>Carrowmore4</t>
  </si>
  <si>
    <t>Cohaw</t>
  </si>
  <si>
    <t>I2a1a2a1a</t>
  </si>
  <si>
    <t>CH448</t>
  </si>
  <si>
    <t>Cohaw448</t>
  </si>
  <si>
    <t>Court Tomb</t>
  </si>
  <si>
    <t>Glennamong</t>
  </si>
  <si>
    <t>I2a1b1a1a(1~*)</t>
  </si>
  <si>
    <t>GNM1007</t>
  </si>
  <si>
    <t>Glennamong1007</t>
  </si>
  <si>
    <t>Natural Boulder Chamber</t>
  </si>
  <si>
    <t>I2a1b1a1a1~</t>
  </si>
  <si>
    <t>GNM1076</t>
  </si>
  <si>
    <t>Glennamong1076</t>
  </si>
  <si>
    <t>Jerpoint West</t>
  </si>
  <si>
    <t>JP14</t>
  </si>
  <si>
    <t>Jerpoint14</t>
  </si>
  <si>
    <t>Millin Bay (Keentagh Td.)</t>
  </si>
  <si>
    <t>I2a1b1a1a1(-Y3712)</t>
  </si>
  <si>
    <t>MB6</t>
  </si>
  <si>
    <t>MillinBay6</t>
  </si>
  <si>
    <t>Passage-like Megalith</t>
  </si>
  <si>
    <t>Newgrange, Main Chamber</t>
  </si>
  <si>
    <t>NG10</t>
  </si>
  <si>
    <t>Newgrange10</t>
  </si>
  <si>
    <t>NGZ1</t>
  </si>
  <si>
    <t>NewgrangeZ1</t>
  </si>
  <si>
    <t>Skull-pit by Satellite Passage Tomb</t>
  </si>
  <si>
    <t>Parknabinnia</t>
  </si>
  <si>
    <t>PB1327</t>
  </si>
  <si>
    <t>Parknabinnia1327</t>
  </si>
  <si>
    <t>PB1794</t>
  </si>
  <si>
    <t>Parknabinnia1794</t>
  </si>
  <si>
    <t>PB186</t>
  </si>
  <si>
    <t>Parknabinnia186</t>
  </si>
  <si>
    <t>PB2031</t>
  </si>
  <si>
    <t>Parknabinnia2031</t>
  </si>
  <si>
    <t>PB357</t>
  </si>
  <si>
    <t>Parknabinnia357</t>
  </si>
  <si>
    <t>PB443</t>
  </si>
  <si>
    <t>Parknabinnia443</t>
  </si>
  <si>
    <t>I2a1b1a1a1~(+L1193,-Y3712)</t>
  </si>
  <si>
    <t>PB581</t>
  </si>
  <si>
    <t>Parknabinnia581</t>
  </si>
  <si>
    <t>T2c1d+152</t>
  </si>
  <si>
    <t>PB672</t>
  </si>
  <si>
    <t>Parknabinnia672</t>
  </si>
  <si>
    <t>I2a1a1b(+)</t>
  </si>
  <si>
    <t>PB675</t>
  </si>
  <si>
    <t>Parknabinnia675</t>
  </si>
  <si>
    <t>PB754</t>
  </si>
  <si>
    <t>Parknabinnia754</t>
  </si>
  <si>
    <t>PB768</t>
  </si>
  <si>
    <t>Parknabinnia768</t>
  </si>
  <si>
    <t>Poulnabrone</t>
  </si>
  <si>
    <t>U5b1c1</t>
  </si>
  <si>
    <t>PN02</t>
  </si>
  <si>
    <t>Poulnabrone02</t>
  </si>
  <si>
    <t>Portal Tomb</t>
  </si>
  <si>
    <t>PN03</t>
  </si>
  <si>
    <t>Poulnabrone03</t>
  </si>
  <si>
    <t>I2a1b1a1a1~(+,-Y3712)</t>
  </si>
  <si>
    <t>PN04</t>
  </si>
  <si>
    <t>Poulnabrone04</t>
  </si>
  <si>
    <t>PN05</t>
  </si>
  <si>
    <t>Poulnabrone05</t>
  </si>
  <si>
    <t>PN06</t>
  </si>
  <si>
    <t>Poulnabrone06</t>
  </si>
  <si>
    <t>U5b1c</t>
  </si>
  <si>
    <t>I2a1b1a1a1~(+,-L1193)</t>
  </si>
  <si>
    <t>PN07</t>
  </si>
  <si>
    <t>Poulnabrone07</t>
  </si>
  <si>
    <t>U4a2f</t>
  </si>
  <si>
    <t>I2a1b1a1a1~(+*,-L1193,-Y3712)</t>
  </si>
  <si>
    <t>PN107</t>
  </si>
  <si>
    <t>Poulnabrone107</t>
  </si>
  <si>
    <t>U5b2b</t>
  </si>
  <si>
    <t>PN112</t>
  </si>
  <si>
    <t>Poulnabrone112</t>
  </si>
  <si>
    <t>H4a1a1a</t>
  </si>
  <si>
    <t>PN113</t>
  </si>
  <si>
    <t>Poulnabrone10_113</t>
  </si>
  <si>
    <t>PN12</t>
  </si>
  <si>
    <t>Poulnabrone12</t>
  </si>
  <si>
    <t>I2a1a2a1</t>
  </si>
  <si>
    <t>PN13</t>
  </si>
  <si>
    <t>Poulnabrone13</t>
  </si>
  <si>
    <t>PN16</t>
  </si>
  <si>
    <t>Poulnabrone16</t>
  </si>
  <si>
    <t>Primrose Grange</t>
  </si>
  <si>
    <t xml:space="preserve">prs002 </t>
  </si>
  <si>
    <t>Primrose2</t>
  </si>
  <si>
    <t>H1i</t>
  </si>
  <si>
    <t xml:space="preserve">prs003/015 </t>
  </si>
  <si>
    <t>Primrose3</t>
  </si>
  <si>
    <t xml:space="preserve">prs006/011 </t>
  </si>
  <si>
    <t>Primrose6</t>
  </si>
  <si>
    <t xml:space="preserve">prs007 </t>
  </si>
  <si>
    <t>Primrose7</t>
  </si>
  <si>
    <t>U5b2c</t>
  </si>
  <si>
    <t xml:space="preserve">prs008/009 </t>
  </si>
  <si>
    <t>Primrose9</t>
  </si>
  <si>
    <t xml:space="preserve">prs010 </t>
  </si>
  <si>
    <t>Primrose10</t>
  </si>
  <si>
    <t xml:space="preserve">prs012 </t>
  </si>
  <si>
    <t>Primrose12</t>
  </si>
  <si>
    <t>T2b3c</t>
  </si>
  <si>
    <t xml:space="preserve">prs013/014 </t>
  </si>
  <si>
    <t>Primrose13</t>
  </si>
  <si>
    <t xml:space="preserve">prs016 </t>
  </si>
  <si>
    <t>Primrose16</t>
  </si>
  <si>
    <t xml:space="preserve">prs017 </t>
  </si>
  <si>
    <t>Primrose17</t>
  </si>
  <si>
    <t xml:space="preserve">prs018 </t>
  </si>
  <si>
    <t>Primrose18</t>
  </si>
  <si>
    <t>PEN001_real1</t>
  </si>
  <si>
    <t>PEN001_real1_merged</t>
  </si>
  <si>
    <t>Gazel</t>
  </si>
  <si>
    <t>la grotte Gazel</t>
  </si>
  <si>
    <t>le champ du poste</t>
  </si>
  <si>
    <t>SP395</t>
  </si>
  <si>
    <t>K1a-195</t>
  </si>
  <si>
    <t>SP1</t>
  </si>
  <si>
    <t>Site</t>
  </si>
  <si>
    <t>Le Pirou</t>
  </si>
  <si>
    <t>Le Crès</t>
  </si>
  <si>
    <t>X2b-226</t>
  </si>
  <si>
    <t>J2b1a2</t>
  </si>
  <si>
    <t>Pir7</t>
  </si>
  <si>
    <t>Pir4</t>
  </si>
  <si>
    <t>Pir3</t>
  </si>
  <si>
    <t>CRE34</t>
  </si>
  <si>
    <t>CRE14</t>
  </si>
  <si>
    <t>CRE11C</t>
  </si>
  <si>
    <t>CRE11B</t>
  </si>
  <si>
    <t>CRE11A</t>
  </si>
  <si>
    <t>CRE8C</t>
  </si>
  <si>
    <t>Prepared by J. Pérez-Losada using the free-to-reuse database by C. Quiles (https://indo-european.eu/ancient-dna/,accessed Feb. 6th, 2021) and original sources. Some entries were added/edited by J. Fort.</t>
  </si>
  <si>
    <t>Location</t>
  </si>
  <si>
    <t>Other iD-01</t>
  </si>
  <si>
    <t>Other iD-02</t>
  </si>
  <si>
    <t>Other iD-03</t>
  </si>
  <si>
    <t>Other iD-04</t>
  </si>
  <si>
    <t>Fu et al. 2016</t>
  </si>
  <si>
    <t>Wachtberg in Krems, Lower Austria</t>
  </si>
  <si>
    <t>Gravettian</t>
  </si>
  <si>
    <t>KremsWA3</t>
  </si>
  <si>
    <t>Satsurblia</t>
  </si>
  <si>
    <t>Georgia</t>
  </si>
  <si>
    <t>J2</t>
  </si>
  <si>
    <t>Epigravettian</t>
  </si>
  <si>
    <t>TeschlerNicolaCommunBiol2020</t>
  </si>
  <si>
    <t>U5*</t>
  </si>
  <si>
    <t>I*</t>
  </si>
  <si>
    <t>Palaeolithic_Gravettian</t>
  </si>
  <si>
    <t>I2483</t>
  </si>
  <si>
    <t>Krems1_1</t>
  </si>
  <si>
    <t>I2484</t>
  </si>
  <si>
    <t>Krems1_2</t>
  </si>
  <si>
    <t>Mathieson et al. 2018 (reported in Fu et al. 2016)</t>
  </si>
  <si>
    <t>Troisième caverne (Goyet cave)</t>
  </si>
  <si>
    <t>Belgium</t>
  </si>
  <si>
    <t>GoyetQ116-1_published</t>
  </si>
  <si>
    <t>GoyetQ116-1</t>
  </si>
  <si>
    <t>Posth et al. 2016</t>
  </si>
  <si>
    <t>Aurignacian</t>
  </si>
  <si>
    <t>GoyetQ376-3</t>
  </si>
  <si>
    <t>Q376-3</t>
  </si>
  <si>
    <t>U2</t>
  </si>
  <si>
    <t>GoyetQ376-19</t>
  </si>
  <si>
    <t>GoyetQ53-1</t>
  </si>
  <si>
    <t>GoyetQ56-16</t>
  </si>
  <si>
    <t>GoyetQ55-2</t>
  </si>
  <si>
    <t>Q55-2</t>
  </si>
  <si>
    <t>Goyet2878-21</t>
  </si>
  <si>
    <t>GA232</t>
  </si>
  <si>
    <t>2878-21</t>
  </si>
  <si>
    <t>U8a</t>
  </si>
  <si>
    <t>H.UK</t>
  </si>
  <si>
    <t>Magdalenian</t>
  </si>
  <si>
    <t>GoyetQ-2</t>
  </si>
  <si>
    <t>HublinNature2020</t>
  </si>
  <si>
    <t>Bacho Kiro Cave</t>
  </si>
  <si>
    <t>M*</t>
  </si>
  <si>
    <t>Palaeolithic_Upper</t>
  </si>
  <si>
    <t>AA7-738</t>
  </si>
  <si>
    <t>F6-620</t>
  </si>
  <si>
    <t>N*</t>
  </si>
  <si>
    <t>BB7-240</t>
  </si>
  <si>
    <t>CC7-335</t>
  </si>
  <si>
    <t>R</t>
  </si>
  <si>
    <t>CC7-2289</t>
  </si>
  <si>
    <t>U8</t>
  </si>
  <si>
    <t>BK-1653</t>
  </si>
  <si>
    <t>Vela Spila</t>
  </si>
  <si>
    <t>Croatia_Mesolithic_HG</t>
  </si>
  <si>
    <t>I1875</t>
  </si>
  <si>
    <t>STANKOa</t>
  </si>
  <si>
    <t>Dolni Vestonice</t>
  </si>
  <si>
    <t>Czech Republic</t>
  </si>
  <si>
    <t>Vestonice14</t>
  </si>
  <si>
    <t>Vestonice43</t>
  </si>
  <si>
    <t>Vestonice15</t>
  </si>
  <si>
    <t>Pavlov I, Pavlovské Hills, South Moravia</t>
  </si>
  <si>
    <t>Cla2</t>
  </si>
  <si>
    <t>Pavlov1</t>
  </si>
  <si>
    <t>Vestonice16</t>
  </si>
  <si>
    <t>U8c</t>
  </si>
  <si>
    <t>CT(notIJK)</t>
  </si>
  <si>
    <t>Vestonice13</t>
  </si>
  <si>
    <t>HansenDJA2017</t>
  </si>
  <si>
    <t>Koelbjerg</t>
  </si>
  <si>
    <t>Denmark</t>
  </si>
  <si>
    <t>Nordic_HG</t>
  </si>
  <si>
    <t>Saag et al. 2017</t>
  </si>
  <si>
    <t>Hirmuste</t>
  </si>
  <si>
    <t>Estonia</t>
  </si>
  <si>
    <t>Comb Ceramic culture</t>
  </si>
  <si>
    <t>Naakamäe</t>
  </si>
  <si>
    <t>Kudruküla</t>
  </si>
  <si>
    <t>U2e1</t>
  </si>
  <si>
    <t>R1a5-YP1272</t>
  </si>
  <si>
    <t>Kudruküla3</t>
  </si>
  <si>
    <t>U4a</t>
  </si>
  <si>
    <t>–</t>
  </si>
  <si>
    <t>Kudruküla2</t>
  </si>
  <si>
    <t>Meleski</t>
  </si>
  <si>
    <t>Narva Culture</t>
  </si>
  <si>
    <t>Kivisaare</t>
  </si>
  <si>
    <t>U5b1d1</t>
  </si>
  <si>
    <t>Kudruküla1_d</t>
  </si>
  <si>
    <t>Kudruküla1_r</t>
  </si>
  <si>
    <t>La Rochette (saint Léon-sur-Vézère)</t>
  </si>
  <si>
    <t>LaRochette</t>
  </si>
  <si>
    <t>OSUT 7074</t>
  </si>
  <si>
    <t>Rigney 1 (Rigney)</t>
  </si>
  <si>
    <t>U2'31417'819</t>
  </si>
  <si>
    <t>Rigney1</t>
  </si>
  <si>
    <t>Les Closeaux (Rueil-Malmaison)</t>
  </si>
  <si>
    <t>Mesolithic</t>
  </si>
  <si>
    <t>LesCloseauxl3</t>
  </si>
  <si>
    <t>Les Vignolles (Mareuil-lès-Meaux)</t>
  </si>
  <si>
    <t>MareuilLesMeaux1</t>
  </si>
  <si>
    <t>MLM</t>
  </si>
  <si>
    <t>MLM-1 (burial 11)</t>
  </si>
  <si>
    <t>BrunelPNAS2020</t>
  </si>
  <si>
    <t>Agris</t>
  </si>
  <si>
    <t>France_HG</t>
  </si>
  <si>
    <t>PER26</t>
  </si>
  <si>
    <t>L'abri des "Cabônes"</t>
  </si>
  <si>
    <t>Ranchot88</t>
  </si>
  <si>
    <t>Aven des Iboussières à Malataverne, Rhône-Alpes</t>
  </si>
  <si>
    <t>Iboussieres31-2</t>
  </si>
  <si>
    <t>U5b1-16189</t>
  </si>
  <si>
    <t>I2a1b2</t>
  </si>
  <si>
    <t>PER3123</t>
  </si>
  <si>
    <t>PER503</t>
  </si>
  <si>
    <t>U5b1-16189-@16192</t>
  </si>
  <si>
    <t>PER1150B</t>
  </si>
  <si>
    <t>PER3023</t>
  </si>
  <si>
    <t>Berry-au-Bac</t>
  </si>
  <si>
    <t>U5b1a</t>
  </si>
  <si>
    <t>BerryAuBac</t>
  </si>
  <si>
    <t>Chaudardes</t>
  </si>
  <si>
    <t>U5b1b</t>
  </si>
  <si>
    <t>Chaudardes1</t>
  </si>
  <si>
    <t>J?</t>
  </si>
  <si>
    <t>Iboussieres25-1</t>
  </si>
  <si>
    <t>Aven des Iboussières à Malataverne</t>
  </si>
  <si>
    <t>Epipaleolithic</t>
  </si>
  <si>
    <t>lboussieres39</t>
  </si>
  <si>
    <t>Rochedane (Villars-sous-Dampjoux)</t>
  </si>
  <si>
    <t>Rochedane</t>
  </si>
  <si>
    <t>Mathieson et al. 2018 (reported in Jones et al. 2015)</t>
  </si>
  <si>
    <t>Kotias Klde</t>
  </si>
  <si>
    <t>H13c</t>
  </si>
  <si>
    <t>Kotias</t>
  </si>
  <si>
    <t>KK1.SG</t>
  </si>
  <si>
    <t>GelabertbioRxiv2021</t>
  </si>
  <si>
    <t>Satsurblia cave</t>
  </si>
  <si>
    <t>SAT29</t>
  </si>
  <si>
    <t>LazaridisNature2016</t>
  </si>
  <si>
    <t>Dzudzuana</t>
  </si>
  <si>
    <t>Caucasus_HG</t>
  </si>
  <si>
    <t>I2963</t>
  </si>
  <si>
    <t>Dzu 3</t>
  </si>
  <si>
    <t>U6</t>
  </si>
  <si>
    <t>I2949</t>
  </si>
  <si>
    <t>Dzu 2</t>
  </si>
  <si>
    <t>Bottendorf</t>
  </si>
  <si>
    <t>Germany_Meso_BOT</t>
  </si>
  <si>
    <t xml:space="preserve">BOT004 </t>
  </si>
  <si>
    <t>HK39:147a-b BII/1</t>
  </si>
  <si>
    <t xml:space="preserve">BOT005 </t>
  </si>
  <si>
    <t>HK39:147b BII/2</t>
  </si>
  <si>
    <t>Bramanti et al. 2009</t>
  </si>
  <si>
    <t>Ostorf</t>
  </si>
  <si>
    <t>Mesolithic, surrounded by Neolithic</t>
  </si>
  <si>
    <t>?</t>
  </si>
  <si>
    <t>SK45a</t>
  </si>
  <si>
    <t>SK28a</t>
  </si>
  <si>
    <t>SK12a</t>
  </si>
  <si>
    <t>SK18</t>
  </si>
  <si>
    <t>Hohler Fels</t>
  </si>
  <si>
    <t>10I</t>
  </si>
  <si>
    <t>49I</t>
  </si>
  <si>
    <t>BollonginoScience2013</t>
  </si>
  <si>
    <t>Blätterhöhle at Hagen, Sauerland region, Westphalia</t>
  </si>
  <si>
    <t>U/K</t>
  </si>
  <si>
    <t>CEU_M</t>
  </si>
  <si>
    <t>BLA2</t>
  </si>
  <si>
    <t>U2e</t>
  </si>
  <si>
    <t>BLA3</t>
  </si>
  <si>
    <t>Bad Dürrenberg</t>
  </si>
  <si>
    <t>Late Mesolithic</t>
  </si>
  <si>
    <t>Bdü 2a</t>
  </si>
  <si>
    <t>Bdü 2b</t>
  </si>
  <si>
    <t>U4b1b1</t>
  </si>
  <si>
    <t>Germany_Meso_BDB</t>
  </si>
  <si>
    <t xml:space="preserve">BDB001 </t>
  </si>
  <si>
    <t>HK34:823a</t>
  </si>
  <si>
    <t>SK35a</t>
  </si>
  <si>
    <t>M?</t>
  </si>
  <si>
    <t>SK8d</t>
  </si>
  <si>
    <t>BLA19</t>
  </si>
  <si>
    <t>SK19</t>
  </si>
  <si>
    <t>Hohlenstein-Stadel</t>
  </si>
  <si>
    <t>30a</t>
  </si>
  <si>
    <t xml:space="preserve">Falkenstein-Höhle, Swabian Jura, Baden-Württemberg, </t>
  </si>
  <si>
    <t>Falkenstein</t>
  </si>
  <si>
    <t xml:space="preserve">Posth et al. 2016 </t>
  </si>
  <si>
    <t>Felsdach Inzigofen</t>
  </si>
  <si>
    <t>Felsdach</t>
  </si>
  <si>
    <t>Fels</t>
  </si>
  <si>
    <t>F-I 28</t>
  </si>
  <si>
    <t>BLA20</t>
  </si>
  <si>
    <t>TerbergerQuartaer2015</t>
  </si>
  <si>
    <t>Groß Fredenwalde 1962, individual 1</t>
  </si>
  <si>
    <t>CEU_HG</t>
  </si>
  <si>
    <t>GF1</t>
  </si>
  <si>
    <t>Groß Fredenwalde 1962, individual 3</t>
  </si>
  <si>
    <t>GF3</t>
  </si>
  <si>
    <t>FuCurrBiol2013</t>
  </si>
  <si>
    <t>North Rhine-Westphalia, Germany</t>
  </si>
  <si>
    <t>West_European_Hunter_Gatherer</t>
  </si>
  <si>
    <t>Oberkassel998</t>
  </si>
  <si>
    <t>Oberkassel999</t>
  </si>
  <si>
    <t>Bockstein Höhle</t>
  </si>
  <si>
    <t>Bockstein</t>
  </si>
  <si>
    <t>Große Ofnet Höhle</t>
  </si>
  <si>
    <t>Ofnet</t>
  </si>
  <si>
    <t>Falkensteiner Höhle</t>
  </si>
  <si>
    <t>FH</t>
  </si>
  <si>
    <t>30b</t>
  </si>
  <si>
    <t>U5b2a2</t>
  </si>
  <si>
    <t>BLA6</t>
  </si>
  <si>
    <t>U5b2c1</t>
  </si>
  <si>
    <t>HohlensteinStadel</t>
  </si>
  <si>
    <t>VE</t>
  </si>
  <si>
    <t>OSUT 5830 a-c</t>
  </si>
  <si>
    <t>Burkhardtshöhle</t>
  </si>
  <si>
    <t>Burkhardtshohle</t>
  </si>
  <si>
    <t>Hohle Fels</t>
  </si>
  <si>
    <t>HohleFels49</t>
  </si>
  <si>
    <t>HohleFels79</t>
  </si>
  <si>
    <t>Swabian Jura, Baden-Württemberg, Germany</t>
  </si>
  <si>
    <t>Brillenhohle</t>
  </si>
  <si>
    <t>HohleFels10</t>
  </si>
  <si>
    <t>GA81</t>
  </si>
  <si>
    <t>HF 10 Ic 405</t>
  </si>
  <si>
    <t>Theopetra Cave, Thessaly</t>
  </si>
  <si>
    <t>Theo1</t>
  </si>
  <si>
    <t>Theo5</t>
  </si>
  <si>
    <t>Koros_Hungary_EN_HG</t>
  </si>
  <si>
    <t>HUNG345a, KO1</t>
  </si>
  <si>
    <t>SzécsényiNagyProcRSocLondB2015</t>
  </si>
  <si>
    <t>Vela Spila/Island Korčula</t>
  </si>
  <si>
    <t>U5b2a5</t>
  </si>
  <si>
    <t>Balkans_M</t>
  </si>
  <si>
    <t>STANKO</t>
  </si>
  <si>
    <t>CassidyNature2020 (from Cassidy2017)</t>
  </si>
  <si>
    <t>Killuragh, Limerick</t>
  </si>
  <si>
    <t>I2a1a2*..</t>
  </si>
  <si>
    <t>Ireland_HG</t>
  </si>
  <si>
    <t>KGH6</t>
  </si>
  <si>
    <t>ModiSciRep2017</t>
  </si>
  <si>
    <t>Su Carroppu rockshelter of the Sulcis region</t>
  </si>
  <si>
    <t>I3</t>
  </si>
  <si>
    <t>Sardinia_HG</t>
  </si>
  <si>
    <t>CAR-H8</t>
  </si>
  <si>
    <t>CAR-H7</t>
  </si>
  <si>
    <t>Grotta di Santa Maria di Agnano, Central Apulia</t>
  </si>
  <si>
    <t>Ostuni1</t>
  </si>
  <si>
    <t>BenazziScience2015</t>
  </si>
  <si>
    <t>Grotta di Fumane </t>
  </si>
  <si>
    <t>R*</t>
  </si>
  <si>
    <t>Fumane2</t>
  </si>
  <si>
    <t>Ostuni2</t>
  </si>
  <si>
    <t>Grotta Paglicci</t>
  </si>
  <si>
    <t>U2'3'4'713'9</t>
  </si>
  <si>
    <t>Paglicci 108</t>
  </si>
  <si>
    <t>Foggia, Italy</t>
  </si>
  <si>
    <t>U2'3'4'7'8'9</t>
  </si>
  <si>
    <t>Palaeolithic_Epigravettian</t>
  </si>
  <si>
    <t>Accesso sala 2 Rim P *</t>
  </si>
  <si>
    <t>Grotta dell’Uzzo, Sicily</t>
  </si>
  <si>
    <t>Sicily Early Mesolithic</t>
  </si>
  <si>
    <t>UZZ5054</t>
  </si>
  <si>
    <t>UZZ96</t>
  </si>
  <si>
    <t>Grotta d’Oriente, Favignana Island, Egadi islands, Sicily</t>
  </si>
  <si>
    <t>I2158</t>
  </si>
  <si>
    <t>BortolinibioRxiv2020</t>
  </si>
  <si>
    <t>Riparo Tagliente</t>
  </si>
  <si>
    <t>U4'9*</t>
  </si>
  <si>
    <t>Tagliente2</t>
  </si>
  <si>
    <t>Sicily Late Mesolithic</t>
  </si>
  <si>
    <t>UZZ40</t>
  </si>
  <si>
    <t>UZZ82</t>
  </si>
  <si>
    <t>U5a2+16294</t>
  </si>
  <si>
    <t>UZZ71</t>
  </si>
  <si>
    <t>Grotta Continenza, Abruzzo</t>
  </si>
  <si>
    <t>Continenza</t>
  </si>
  <si>
    <t>I-M436</t>
  </si>
  <si>
    <t>R11</t>
  </si>
  <si>
    <t>I-M223</t>
  </si>
  <si>
    <t>R7</t>
  </si>
  <si>
    <t>Villabruna</t>
  </si>
  <si>
    <t>R1b1a</t>
  </si>
  <si>
    <t>Paglicci71</t>
  </si>
  <si>
    <t>FA</t>
  </si>
  <si>
    <t>PA71 (8A)</t>
  </si>
  <si>
    <t>UZZ4446</t>
  </si>
  <si>
    <t>UZZ69</t>
  </si>
  <si>
    <t>L′Aquila, Italy</t>
  </si>
  <si>
    <t>U5b2b1</t>
  </si>
  <si>
    <t>Continenza 7, fragment 8 *</t>
  </si>
  <si>
    <t>U5b2b1a</t>
  </si>
  <si>
    <t>UZZ80</t>
  </si>
  <si>
    <t>U5b3</t>
  </si>
  <si>
    <t>Castelnovian Mesolithic</t>
  </si>
  <si>
    <t>R15</t>
  </si>
  <si>
    <t>U5b3d</t>
  </si>
  <si>
    <t>UZZ79</t>
  </si>
  <si>
    <t>UZZ81</t>
  </si>
  <si>
    <t>UZZ88</t>
  </si>
  <si>
    <t>Paglicci133</t>
  </si>
  <si>
    <t>Jones et al. 2017</t>
  </si>
  <si>
    <t>Zvejnieki</t>
  </si>
  <si>
    <t>Latvia</t>
  </si>
  <si>
    <t>R1b1b</t>
  </si>
  <si>
    <t>Mesolithic; Narva culture</t>
  </si>
  <si>
    <t>Latvia_HG2</t>
  </si>
  <si>
    <t>Latvia_HG</t>
  </si>
  <si>
    <t>I4595</t>
  </si>
  <si>
    <t>ZVEJ8</t>
  </si>
  <si>
    <t>U4a1</t>
  </si>
  <si>
    <t>I4440</t>
  </si>
  <si>
    <t>ZVEJ21</t>
  </si>
  <si>
    <t>U4b1a2</t>
  </si>
  <si>
    <t>I4438</t>
  </si>
  <si>
    <t>ZVEJ16</t>
  </si>
  <si>
    <t>Mesolithic; Kunda culture</t>
  </si>
  <si>
    <t>Latvia_HG1</t>
  </si>
  <si>
    <t>I4441</t>
  </si>
  <si>
    <t>ZVEJ22</t>
  </si>
  <si>
    <t>I4553</t>
  </si>
  <si>
    <t>ZVEJ7</t>
  </si>
  <si>
    <t>U5a1d</t>
  </si>
  <si>
    <t>I4552</t>
  </si>
  <si>
    <t>ZVEJ5</t>
  </si>
  <si>
    <t>R1b1a1a(xR1b1a1a2)</t>
  </si>
  <si>
    <t>I4432</t>
  </si>
  <si>
    <t>ZVEJ10</t>
  </si>
  <si>
    <t>I4630</t>
  </si>
  <si>
    <t>ZVEJ30</t>
  </si>
  <si>
    <t>I4551</t>
  </si>
  <si>
    <t>ZVEJ4</t>
  </si>
  <si>
    <t>Latvia_HG3</t>
  </si>
  <si>
    <t>I4434</t>
  </si>
  <si>
    <t>ZVEJ12</t>
  </si>
  <si>
    <t>I4596</t>
  </si>
  <si>
    <t>ZVEJ9</t>
  </si>
  <si>
    <t>I4439</t>
  </si>
  <si>
    <t>ZVEJ20</t>
  </si>
  <si>
    <t>U5b2a1a</t>
  </si>
  <si>
    <t>Q1a2</t>
  </si>
  <si>
    <t>I4550</t>
  </si>
  <si>
    <t>ZVEJ3</t>
  </si>
  <si>
    <t>Mittinik et al. 2018</t>
  </si>
  <si>
    <t>Spiginas</t>
  </si>
  <si>
    <t>Lithuania</t>
  </si>
  <si>
    <t>Kunda culture</t>
  </si>
  <si>
    <t>Spiginas3</t>
  </si>
  <si>
    <t>Donkalnis</t>
  </si>
  <si>
    <t>K1b2</t>
  </si>
  <si>
    <t>Donkalnis5</t>
  </si>
  <si>
    <t>U4a2</t>
  </si>
  <si>
    <t>Spiginas4</t>
  </si>
  <si>
    <t>Kunda culture?</t>
  </si>
  <si>
    <t>Don 1a</t>
  </si>
  <si>
    <t>Don 1b</t>
  </si>
  <si>
    <t>Kretuonas</t>
  </si>
  <si>
    <t>Kre 1a</t>
  </si>
  <si>
    <t>Kre 1b</t>
  </si>
  <si>
    <t>Narva culture</t>
  </si>
  <si>
    <t>Kre 2a</t>
  </si>
  <si>
    <t>Kre 2b</t>
  </si>
  <si>
    <t>Donkalnis4</t>
  </si>
  <si>
    <t>Mathieson et al. 2018 (reported in Lazaridis et al. 2014)</t>
  </si>
  <si>
    <t>Echternach</t>
  </si>
  <si>
    <t>Luxembourg</t>
  </si>
  <si>
    <t>Loschbour_published.DG</t>
  </si>
  <si>
    <t>Loschbour</t>
  </si>
  <si>
    <t>Günther et al. 2018</t>
  </si>
  <si>
    <t>Hummervikholmen</t>
  </si>
  <si>
    <t>Norway</t>
  </si>
  <si>
    <t>Scandinavian hunter-gatherer</t>
  </si>
  <si>
    <t>Hum1</t>
  </si>
  <si>
    <t xml:space="preserve">SOG105 </t>
  </si>
  <si>
    <t>TRa-954</t>
  </si>
  <si>
    <t xml:space="preserve"> TUa-1257</t>
  </si>
  <si>
    <t>I2-M438</t>
  </si>
  <si>
    <t>Hum2</t>
  </si>
  <si>
    <t>SOG107</t>
  </si>
  <si>
    <t>Steigen</t>
  </si>
  <si>
    <t>I2a1b-M423</t>
  </si>
  <si>
    <t>Drestwo</t>
  </si>
  <si>
    <t>Poland</t>
  </si>
  <si>
    <t>Dre 2a</t>
  </si>
  <si>
    <t>Dre 2b</t>
  </si>
  <si>
    <t>Dudka</t>
  </si>
  <si>
    <t>Zedmar culture?</t>
  </si>
  <si>
    <t>Dud 2a</t>
  </si>
  <si>
    <t>Dud 2b</t>
  </si>
  <si>
    <t>Zedmar culture</t>
  </si>
  <si>
    <t>Dud 3a</t>
  </si>
  <si>
    <t>Dud 3b</t>
  </si>
  <si>
    <t>Dud 3c</t>
  </si>
  <si>
    <t>ChyleńskiBMCEvolBiol2017</t>
  </si>
  <si>
    <t>Janisławice, Kuyavia</t>
  </si>
  <si>
    <t>U5b1b1</t>
  </si>
  <si>
    <t>Poland_HG</t>
  </si>
  <si>
    <t>Jan1</t>
  </si>
  <si>
    <t>Chandler2005</t>
  </si>
  <si>
    <t>Toledo</t>
  </si>
  <si>
    <t>H1b1a'c'd'h</t>
  </si>
  <si>
    <t>Iberia_HG</t>
  </si>
  <si>
    <t>Tol1</t>
  </si>
  <si>
    <t>Arapouco</t>
  </si>
  <si>
    <t>Ara10</t>
  </si>
  <si>
    <t>Cabeço das Amoreiras</t>
  </si>
  <si>
    <t>CdA3</t>
  </si>
  <si>
    <t>SzécsényiSciRep2017</t>
  </si>
  <si>
    <t>Moita do Sebastão</t>
  </si>
  <si>
    <t>Seba1</t>
  </si>
  <si>
    <t>Moita do Sebastião</t>
  </si>
  <si>
    <t>U5b1 + 16189</t>
  </si>
  <si>
    <t>Mesolithic / Geometric</t>
  </si>
  <si>
    <t>CMS001</t>
  </si>
  <si>
    <t>U5b1c2</t>
  </si>
  <si>
    <t>Ara7</t>
  </si>
  <si>
    <t>Ostrovul Corbului</t>
  </si>
  <si>
    <t>H13</t>
  </si>
  <si>
    <t>Iron_Gates_HG</t>
  </si>
  <si>
    <t>I4081</t>
  </si>
  <si>
    <t>OSTCOR1a+OSTCOR1b</t>
  </si>
  <si>
    <t>I4582</t>
  </si>
  <si>
    <t>OSTCOR_32</t>
  </si>
  <si>
    <t>Schela Cladovei</t>
  </si>
  <si>
    <t>I4655</t>
  </si>
  <si>
    <t>SCCL_50</t>
  </si>
  <si>
    <t>González-Fortes et al. 2017</t>
  </si>
  <si>
    <t xml:space="preserve">Mesolithic </t>
  </si>
  <si>
    <t>OC1_Meso</t>
  </si>
  <si>
    <t>R1b1a(xR1b1a1a,xR1b1a1a2)</t>
  </si>
  <si>
    <t>I5408</t>
  </si>
  <si>
    <t>OSTCOR_24</t>
  </si>
  <si>
    <t>Peştera cu Oase</t>
  </si>
  <si>
    <t>Unassigned</t>
  </si>
  <si>
    <t>Oase1</t>
  </si>
  <si>
    <t>Peştera Cioclovina Uscată, South Transylvania, Romania</t>
  </si>
  <si>
    <t>Cioclovina1</t>
  </si>
  <si>
    <t>R1</t>
  </si>
  <si>
    <t>SC2_Meso</t>
  </si>
  <si>
    <t>U5a1c1</t>
  </si>
  <si>
    <t>I5411</t>
  </si>
  <si>
    <t>SCCL_12</t>
  </si>
  <si>
    <t>I4607</t>
  </si>
  <si>
    <t>SCCL_46/1</t>
  </si>
  <si>
    <t>I5436</t>
  </si>
  <si>
    <t>SCCL_43</t>
  </si>
  <si>
    <t>SC1_Meso</t>
  </si>
  <si>
    <t>Peştera Muierilor</t>
  </si>
  <si>
    <t>Muieri i2</t>
  </si>
  <si>
    <t>Fu et al. 2016 (reported in Raghavan et al. 2014)</t>
  </si>
  <si>
    <t>Afontova Gora</t>
  </si>
  <si>
    <t>Russia</t>
  </si>
  <si>
    <t>AfontovaGora2</t>
  </si>
  <si>
    <t>Volkovskaya, Voronezh region</t>
  </si>
  <si>
    <t>C1b</t>
  </si>
  <si>
    <t>Kostenki14</t>
  </si>
  <si>
    <t>Kostenki 14</t>
  </si>
  <si>
    <t>Mathieson et al. 2018 (reported in Raghavan et al. 2014)</t>
  </si>
  <si>
    <t>Mal'ta</t>
  </si>
  <si>
    <t>MA1_HG.SG</t>
  </si>
  <si>
    <t>MA1.SG</t>
  </si>
  <si>
    <t>Malta1</t>
  </si>
  <si>
    <t>Sikora et al. 2017</t>
  </si>
  <si>
    <t>Sunghir</t>
  </si>
  <si>
    <t>Upper Paleolithic</t>
  </si>
  <si>
    <t>Sunghir5</t>
  </si>
  <si>
    <t>DerSarkissianPLoSGenet2013</t>
  </si>
  <si>
    <t>Yuzhnyy Oleni Ostrov, Karelia</t>
  </si>
  <si>
    <t>C1</t>
  </si>
  <si>
    <t>Europe_North_East_HG</t>
  </si>
  <si>
    <t>UZOO-7</t>
  </si>
  <si>
    <t>UZOO-8</t>
  </si>
  <si>
    <t>Mathieson et al. 2018 (reported in Mathieson et al. 2015, 1240k of same same sample with 390k in Haak et al. 2015)</t>
  </si>
  <si>
    <t xml:space="preserve">R1a1(xR1a1a) </t>
  </si>
  <si>
    <t>Karelia_HG</t>
  </si>
  <si>
    <t>I0061</t>
  </si>
  <si>
    <t>UzOO74</t>
  </si>
  <si>
    <t>LeeJArchaeolSci2018</t>
  </si>
  <si>
    <t>Zhokhov Island, New Siberian Islands</t>
  </si>
  <si>
    <t>C4</t>
  </si>
  <si>
    <t>Siberia_HG</t>
  </si>
  <si>
    <t>S1106</t>
  </si>
  <si>
    <t>YuCell2020</t>
  </si>
  <si>
    <t>Eastern Siberia</t>
  </si>
  <si>
    <t>C2a1a1a*</t>
  </si>
  <si>
    <t>Baikal_HG</t>
  </si>
  <si>
    <t>UKY001</t>
  </si>
  <si>
    <t>KılınçSciAdv2021 (from KılınçSciRep2018)</t>
  </si>
  <si>
    <t>Buryatia</t>
  </si>
  <si>
    <t>C5c</t>
  </si>
  <si>
    <t>C2a1a</t>
  </si>
  <si>
    <t>Dzhylinda-1</t>
  </si>
  <si>
    <t>SikoraNature2019</t>
  </si>
  <si>
    <t>Yana RHS</t>
  </si>
  <si>
    <t>G1b</t>
  </si>
  <si>
    <t>Q1a1b</t>
  </si>
  <si>
    <t>Yakut_HG</t>
  </si>
  <si>
    <t>Kolyma1</t>
  </si>
  <si>
    <t>KılınçSciAdv2021</t>
  </si>
  <si>
    <t>Argun River</t>
  </si>
  <si>
    <t>G2a1</t>
  </si>
  <si>
    <t>cta016</t>
  </si>
  <si>
    <t>Duvanny Yar, Lower Kolyma River</t>
  </si>
  <si>
    <t>S1102</t>
  </si>
  <si>
    <t>S801</t>
  </si>
  <si>
    <t>Fu et al. 2014</t>
  </si>
  <si>
    <t>Ust'-Ishim, Siberia</t>
  </si>
  <si>
    <t>K (xLT)</t>
  </si>
  <si>
    <t>UstIshirn</t>
  </si>
  <si>
    <t>Lena River</t>
  </si>
  <si>
    <t xml:space="preserve">R1 </t>
  </si>
  <si>
    <t>Khaiyrgas-1</t>
  </si>
  <si>
    <t>UzOO77</t>
  </si>
  <si>
    <t>Rlb</t>
  </si>
  <si>
    <t>AfontovaGora3</t>
  </si>
  <si>
    <t>Saag et al. 2021</t>
  </si>
  <si>
    <t>Karavaikha 1, Vologda</t>
  </si>
  <si>
    <t>T2a1b1</t>
  </si>
  <si>
    <t>Veretye</t>
  </si>
  <si>
    <t>KAR001</t>
  </si>
  <si>
    <t>URI1</t>
  </si>
  <si>
    <t>Poz-88317</t>
  </si>
  <si>
    <t>NarasimhanPattersonScience2019</t>
  </si>
  <si>
    <t>Siberia, western, Tyumen Oblast</t>
  </si>
  <si>
    <t>Siberia_West_HG</t>
  </si>
  <si>
    <t>I1958</t>
  </si>
  <si>
    <t>Volkovskaya, Voronezh region, Russia</t>
  </si>
  <si>
    <t>Kostenki12</t>
  </si>
  <si>
    <t>Sunghir2</t>
  </si>
  <si>
    <t>SII_384</t>
  </si>
  <si>
    <t xml:space="preserve"> P3</t>
  </si>
  <si>
    <t xml:space="preserve"> SII_383</t>
  </si>
  <si>
    <t>Sunghir3</t>
  </si>
  <si>
    <t>SIII_387</t>
  </si>
  <si>
    <t xml:space="preserve"> M1</t>
  </si>
  <si>
    <t xml:space="preserve"> SIII_385</t>
  </si>
  <si>
    <t>SIII_386</t>
  </si>
  <si>
    <t>Sunghir4</t>
  </si>
  <si>
    <t>SIV_392</t>
  </si>
  <si>
    <t>P1*</t>
  </si>
  <si>
    <t>Palaeolithic</t>
  </si>
  <si>
    <t>Yana1</t>
  </si>
  <si>
    <t>Yana2</t>
  </si>
  <si>
    <t>UZOO-43</t>
  </si>
  <si>
    <t>UZOO-46</t>
  </si>
  <si>
    <t>U2e3</t>
  </si>
  <si>
    <t>I1960</t>
  </si>
  <si>
    <t>Popovo, Karelia</t>
  </si>
  <si>
    <t>Po4</t>
  </si>
  <si>
    <t>UZOO-16</t>
  </si>
  <si>
    <t>Mathieson et al. 2018 (reported in Mathieson et al. 2015)</t>
  </si>
  <si>
    <t>I0211</t>
  </si>
  <si>
    <t>UzOO40</t>
  </si>
  <si>
    <t>SaagSciAdv2021</t>
  </si>
  <si>
    <t>Peschanitsa, Arkhangelsk</t>
  </si>
  <si>
    <t>R1aYP1272</t>
  </si>
  <si>
    <t>Russia_West_HG</t>
  </si>
  <si>
    <t>PES001</t>
  </si>
  <si>
    <t>U4d</t>
  </si>
  <si>
    <t>Popovo2</t>
  </si>
  <si>
    <t>Chekalino</t>
  </si>
  <si>
    <t>Yelshanskaya Culture</t>
  </si>
  <si>
    <t>Che 4a</t>
  </si>
  <si>
    <t>Che 4b</t>
  </si>
  <si>
    <t>Che 4c</t>
  </si>
  <si>
    <t>UZOO-70</t>
  </si>
  <si>
    <t>Lebyanzhinka, Sok River, Samara</t>
  </si>
  <si>
    <t>R1b1a1a</t>
  </si>
  <si>
    <t>Samara_HG</t>
  </si>
  <si>
    <t>I0124</t>
  </si>
  <si>
    <t>SVP44</t>
  </si>
  <si>
    <t>Damgaard et al. 2018</t>
  </si>
  <si>
    <t>Sidelkino</t>
  </si>
  <si>
    <t>SidelkinoEHG_ML</t>
  </si>
  <si>
    <t>Siberia, Sosnoviy Ostrov</t>
  </si>
  <si>
    <t>U5a2b1</t>
  </si>
  <si>
    <t>I5766</t>
  </si>
  <si>
    <t>Sunghir1</t>
  </si>
  <si>
    <t>SI_389</t>
  </si>
  <si>
    <t xml:space="preserve"> M3</t>
  </si>
  <si>
    <t xml:space="preserve"> SI_388</t>
  </si>
  <si>
    <t>Lepenski Vir</t>
  </si>
  <si>
    <t>Serbia</t>
  </si>
  <si>
    <t>Lepenski_Vir</t>
  </si>
  <si>
    <t>I5407</t>
  </si>
  <si>
    <t>LEPI_126</t>
  </si>
  <si>
    <t>Lepenski  Vir</t>
  </si>
  <si>
    <t>G2a2b2a1</t>
  </si>
  <si>
    <t>LEPE52</t>
  </si>
  <si>
    <t>H40</t>
  </si>
  <si>
    <t>I4666</t>
  </si>
  <si>
    <t>LEPI_61</t>
  </si>
  <si>
    <t>I5405</t>
  </si>
  <si>
    <t>LEPI_17</t>
  </si>
  <si>
    <t>I4665</t>
  </si>
  <si>
    <t>LEPI_54E</t>
  </si>
  <si>
    <t>Padina</t>
  </si>
  <si>
    <t>Iron_Gates_HG_outlier</t>
  </si>
  <si>
    <t>I5232</t>
  </si>
  <si>
    <t>PADN_4</t>
  </si>
  <si>
    <t>LEPE48</t>
  </si>
  <si>
    <t>I5238</t>
  </si>
  <si>
    <t>PADN_16a</t>
  </si>
  <si>
    <t>Vlasac</t>
  </si>
  <si>
    <t>I4657</t>
  </si>
  <si>
    <t>VLSC_1G/3</t>
  </si>
  <si>
    <t>I4870</t>
  </si>
  <si>
    <t>VLSC_45</t>
  </si>
  <si>
    <t>I5244</t>
  </si>
  <si>
    <t>PADN_18b</t>
  </si>
  <si>
    <t>I5234</t>
  </si>
  <si>
    <t>PADN_6</t>
  </si>
  <si>
    <t>I4878</t>
  </si>
  <si>
    <t>VLSC_U21</t>
  </si>
  <si>
    <t>I5773</t>
  </si>
  <si>
    <t>VLSC_17</t>
  </si>
  <si>
    <t>I2a2a1b2</t>
  </si>
  <si>
    <t>I4880</t>
  </si>
  <si>
    <t>VLSC_U62</t>
  </si>
  <si>
    <t>I4881</t>
  </si>
  <si>
    <t>VLSC_U64</t>
  </si>
  <si>
    <t>Iron_Gates_HG_brother_of_I4880</t>
  </si>
  <si>
    <t>I4882</t>
  </si>
  <si>
    <t>VLSC_U69</t>
  </si>
  <si>
    <t>Hadučka Vodenica</t>
  </si>
  <si>
    <t>I5401</t>
  </si>
  <si>
    <t>HJDK_8</t>
  </si>
  <si>
    <t>I5242</t>
  </si>
  <si>
    <t>PADN_26</t>
  </si>
  <si>
    <t>I4917</t>
  </si>
  <si>
    <t>HJDK_33</t>
  </si>
  <si>
    <t>I5240</t>
  </si>
  <si>
    <t>PADN_22</t>
  </si>
  <si>
    <t>I5409</t>
  </si>
  <si>
    <t>PADI_25</t>
  </si>
  <si>
    <t>I4872</t>
  </si>
  <si>
    <t>VLSC_9</t>
  </si>
  <si>
    <t>I4914</t>
  </si>
  <si>
    <t>HJDK_19-20(1)</t>
  </si>
  <si>
    <t>I5402</t>
  </si>
  <si>
    <t>HJDK_15(1)</t>
  </si>
  <si>
    <t>I5771</t>
  </si>
  <si>
    <t>VLSC_6</t>
  </si>
  <si>
    <t>U5a2a</t>
  </si>
  <si>
    <t>VLASA32</t>
  </si>
  <si>
    <t>VLASA7</t>
  </si>
  <si>
    <t>I5237</t>
  </si>
  <si>
    <t>PADN_14</t>
  </si>
  <si>
    <t>Iron_Gates_HG_daughter_of_I5236</t>
  </si>
  <si>
    <t>I5241</t>
  </si>
  <si>
    <t>PADN_24</t>
  </si>
  <si>
    <t>I4873</t>
  </si>
  <si>
    <t>VLSC_H53</t>
  </si>
  <si>
    <t>I5772</t>
  </si>
  <si>
    <t>VLSC_16</t>
  </si>
  <si>
    <t>I5236</t>
  </si>
  <si>
    <t>PADN_12</t>
  </si>
  <si>
    <t>I5239</t>
  </si>
  <si>
    <t>PADN_17</t>
  </si>
  <si>
    <t>I4876</t>
  </si>
  <si>
    <t>VLSC_H317</t>
  </si>
  <si>
    <t>I5233</t>
  </si>
  <si>
    <t>PADN_5</t>
  </si>
  <si>
    <t>I4877</t>
  </si>
  <si>
    <t>VLSC_H327</t>
  </si>
  <si>
    <t>U5b1d1a</t>
  </si>
  <si>
    <t>I4875</t>
  </si>
  <si>
    <t>VLSC_H267</t>
  </si>
  <si>
    <t>I4871</t>
  </si>
  <si>
    <t>VLSC_80A</t>
  </si>
  <si>
    <t>I4874</t>
  </si>
  <si>
    <t>VLSC_H232</t>
  </si>
  <si>
    <t>I4915</t>
  </si>
  <si>
    <t>HJDK_21</t>
  </si>
  <si>
    <t>R1b1a(xR1b1a1,xR1b1a1a,xR1b1a1a2)</t>
  </si>
  <si>
    <t>I4916</t>
  </si>
  <si>
    <t>HJDK_31</t>
  </si>
  <si>
    <t>I5235</t>
  </si>
  <si>
    <t>PADN_9</t>
  </si>
  <si>
    <t>I4660</t>
  </si>
  <si>
    <t>VLSC_51B</t>
  </si>
  <si>
    <t>HervellaPLoSOne2012</t>
  </si>
  <si>
    <t>La Pasiega, Cantabria</t>
  </si>
  <si>
    <t>Palaeolithic_Magdalenian</t>
  </si>
  <si>
    <t>PS-1</t>
  </si>
  <si>
    <t>La Chora, Cantabria</t>
  </si>
  <si>
    <t>H6</t>
  </si>
  <si>
    <t>CH-1</t>
  </si>
  <si>
    <t>C1a1a</t>
  </si>
  <si>
    <t>Late Upper Paleolithic/Azilian</t>
  </si>
  <si>
    <t>BAL003</t>
  </si>
  <si>
    <t>Erralla, Gipuzkoa</t>
  </si>
  <si>
    <t>ERR.1</t>
  </si>
  <si>
    <t>OlariaUISPP2011</t>
  </si>
  <si>
    <t>Cingle del Mas Nou, Castellón</t>
  </si>
  <si>
    <t>CMN1</t>
  </si>
  <si>
    <t>CMN2</t>
  </si>
  <si>
    <t>Los Canes cave, Asturias</t>
  </si>
  <si>
    <t>Late Upper Paleolithic/Early Mesolithic</t>
  </si>
  <si>
    <t>Canes1_Meso</t>
  </si>
  <si>
    <t>El Miron</t>
  </si>
  <si>
    <t>E1Miron</t>
  </si>
  <si>
    <t>Chan do Lindeiro, Lugo</t>
  </si>
  <si>
    <t>Chan_Meso</t>
  </si>
  <si>
    <t>Aizpea, Navarre</t>
  </si>
  <si>
    <t>AIZ</t>
  </si>
  <si>
    <t>Olalde et al. 2019</t>
  </si>
  <si>
    <t>Cueva de la Carigüela, Piñar, Granada, Andalusia</t>
  </si>
  <si>
    <t>I (xI2a1,xI2a2,xI2c)</t>
  </si>
  <si>
    <t>SE_Iberia_Meso</t>
  </si>
  <si>
    <t>I10899</t>
  </si>
  <si>
    <t>CF</t>
  </si>
  <si>
    <t>I3209</t>
  </si>
  <si>
    <t>BAL001</t>
  </si>
  <si>
    <t>Cueva de la Cocina, Dos Aguas, València/Valencia, Valencian Community</t>
  </si>
  <si>
    <t>I8130</t>
  </si>
  <si>
    <t>La Brana-Arintero, Leon</t>
  </si>
  <si>
    <t>I0585</t>
  </si>
  <si>
    <t>LaBrana1</t>
  </si>
  <si>
    <t>NW_Iberia_Meso</t>
  </si>
  <si>
    <t>I0843</t>
  </si>
  <si>
    <t>Motala, Kanaljorden</t>
  </si>
  <si>
    <t>Motala300</t>
  </si>
  <si>
    <t>Motala311</t>
  </si>
  <si>
    <t>Motala313</t>
  </si>
  <si>
    <t>Motala318</t>
  </si>
  <si>
    <t>Motala4352</t>
  </si>
  <si>
    <t>MotalaAA</t>
  </si>
  <si>
    <t>Malmström et al. 2009</t>
  </si>
  <si>
    <t>Ajvide, Gotland</t>
  </si>
  <si>
    <t>H/R</t>
  </si>
  <si>
    <t>PWC</t>
  </si>
  <si>
    <t>Ajv14</t>
  </si>
  <si>
    <t>Ajv19</t>
  </si>
  <si>
    <t>Ajv52A</t>
  </si>
  <si>
    <t>Ajv29B</t>
  </si>
  <si>
    <t>Ire, Gotland</t>
  </si>
  <si>
    <t>Ire9</t>
  </si>
  <si>
    <t>Fridtorp, Gotland</t>
  </si>
  <si>
    <t>Fri28</t>
  </si>
  <si>
    <t>Visby, Gotland</t>
  </si>
  <si>
    <t>Vis7B</t>
  </si>
  <si>
    <t>Malmström et al. 2016</t>
  </si>
  <si>
    <t>Köpingsvik, Öland</t>
  </si>
  <si>
    <t>GE33</t>
  </si>
  <si>
    <t>Malmström et al. 2017</t>
  </si>
  <si>
    <t>H1f</t>
  </si>
  <si>
    <t>GE44</t>
  </si>
  <si>
    <t>Malmström et al. 2018</t>
  </si>
  <si>
    <t>GE76</t>
  </si>
  <si>
    <t>GE83</t>
  </si>
  <si>
    <t>Ire6B</t>
  </si>
  <si>
    <t>Motala_HG</t>
  </si>
  <si>
    <t>I0012</t>
  </si>
  <si>
    <t>Motala2</t>
  </si>
  <si>
    <t>I2a1b2a1</t>
  </si>
  <si>
    <t>I0017</t>
  </si>
  <si>
    <t>Motala12</t>
  </si>
  <si>
    <t>Ajv13</t>
  </si>
  <si>
    <t>Ajv52B</t>
  </si>
  <si>
    <t>Ajv66</t>
  </si>
  <si>
    <t>Ajv70</t>
  </si>
  <si>
    <t>Fri15</t>
  </si>
  <si>
    <t>Fri22</t>
  </si>
  <si>
    <t>Ire3</t>
  </si>
  <si>
    <t>Ire8</t>
  </si>
  <si>
    <t>Ajv4</t>
  </si>
  <si>
    <t>Fri24</t>
  </si>
  <si>
    <t>Ire4</t>
  </si>
  <si>
    <t>Ire5</t>
  </si>
  <si>
    <t>Stora Bjers</t>
  </si>
  <si>
    <t>I2-L68</t>
  </si>
  <si>
    <t>SBj</t>
  </si>
  <si>
    <t>sbj001</t>
  </si>
  <si>
    <t xml:space="preserve"> Ua-46147</t>
  </si>
  <si>
    <t>Stora Förvar</t>
  </si>
  <si>
    <t>SF12</t>
  </si>
  <si>
    <t>Sf12</t>
  </si>
  <si>
    <t xml:space="preserve"> Ua-45741</t>
  </si>
  <si>
    <t xml:space="preserve"> Beta-448531</t>
  </si>
  <si>
    <t>SF9</t>
  </si>
  <si>
    <t>Sf9</t>
  </si>
  <si>
    <t>Beta-399027</t>
  </si>
  <si>
    <t>Ajv36</t>
  </si>
  <si>
    <t>Ajv54</t>
  </si>
  <si>
    <t>Fri4</t>
  </si>
  <si>
    <t>Ajv29A</t>
  </si>
  <si>
    <t>Ajv5</t>
  </si>
  <si>
    <t>Fri27</t>
  </si>
  <si>
    <t>Vis32</t>
  </si>
  <si>
    <t>SF11</t>
  </si>
  <si>
    <t>Sf11</t>
  </si>
  <si>
    <t xml:space="preserve"> Ua-45742</t>
  </si>
  <si>
    <t xml:space="preserve"> Beta-448532</t>
  </si>
  <si>
    <t>I0011</t>
  </si>
  <si>
    <t>Motala1</t>
  </si>
  <si>
    <t>I0013</t>
  </si>
  <si>
    <t>Motala3</t>
  </si>
  <si>
    <t>Motala363</t>
  </si>
  <si>
    <t>I0016</t>
  </si>
  <si>
    <t>Motala9</t>
  </si>
  <si>
    <t>S0016</t>
  </si>
  <si>
    <t>,</t>
  </si>
  <si>
    <t>I0014</t>
  </si>
  <si>
    <t>Motala4</t>
  </si>
  <si>
    <t>I0015</t>
  </si>
  <si>
    <t>Motala6</t>
  </si>
  <si>
    <t>Motala1913</t>
  </si>
  <si>
    <t>Motala307</t>
  </si>
  <si>
    <t>Motala309</t>
  </si>
  <si>
    <t>Motala314</t>
  </si>
  <si>
    <t>Motala317</t>
  </si>
  <si>
    <t>Vis30B</t>
  </si>
  <si>
    <t>FurtwaenglerNatCommun2020</t>
  </si>
  <si>
    <t>Niederried Ursisbalm (CH)</t>
  </si>
  <si>
    <t>Switzerland</t>
  </si>
  <si>
    <t>Switzerland_FN</t>
  </si>
  <si>
    <t>SX9</t>
  </si>
  <si>
    <t>Fu et al. 2016 (reported in Haak et al. 2015)</t>
  </si>
  <si>
    <t>Grotte du Bichon</t>
  </si>
  <si>
    <t>U5blh</t>
  </si>
  <si>
    <t>Azilian</t>
  </si>
  <si>
    <t>Bichon</t>
  </si>
  <si>
    <t>Pınarbaşı</t>
  </si>
  <si>
    <t>Anatolian Hunter-gatherer</t>
  </si>
  <si>
    <t>ZBC</t>
  </si>
  <si>
    <t>IPB001.B/C0101</t>
  </si>
  <si>
    <t>BennetbioRxiv2019</t>
  </si>
  <si>
    <t>Buran-Kaya III</t>
  </si>
  <si>
    <t>Ukraine</t>
  </si>
  <si>
    <t>N1b</t>
  </si>
  <si>
    <t>C1a</t>
  </si>
  <si>
    <t>BuranKaya3A</t>
  </si>
  <si>
    <t>Vasilyevka 3, Vasilyevka village (Dnipropetrovsk region)</t>
  </si>
  <si>
    <t>Ukraine_HG1</t>
  </si>
  <si>
    <t>Aveline's Hole, Burrington Combe, England</t>
  </si>
  <si>
    <t>United Kingdom</t>
  </si>
  <si>
    <t>B5 / H13 / HV</t>
  </si>
  <si>
    <t>Early_Mesolithic</t>
  </si>
  <si>
    <t>I6745</t>
  </si>
  <si>
    <t>Aveline_3</t>
  </si>
  <si>
    <t>Kents Cavern, Torquay, Devon, England</t>
  </si>
  <si>
    <t>Late_Mesolithic</t>
  </si>
  <si>
    <t>I3025</t>
  </si>
  <si>
    <t>KentCavern_1</t>
  </si>
  <si>
    <t>Ogof-yr-Ychen, Caldey Island, Wales</t>
  </si>
  <si>
    <t>I6754</t>
  </si>
  <si>
    <t>Ogof_yr_ychen_1</t>
  </si>
  <si>
    <t>IJK</t>
  </si>
  <si>
    <t>I6744</t>
  </si>
  <si>
    <t>Aveline_9</t>
  </si>
  <si>
    <t>Gough's Cave, Cheddar Gorge, England</t>
  </si>
  <si>
    <t>I6767</t>
  </si>
  <si>
    <t>Cheddar_man</t>
  </si>
  <si>
    <t>Cnoc Coig, Oronsay, Argyll, Scotland</t>
  </si>
  <si>
    <t>V / HV</t>
  </si>
  <si>
    <t>I3065</t>
  </si>
  <si>
    <t>CnocCoig_1</t>
  </si>
  <si>
    <t>Syltholm, island of Lolland, Denmark</t>
  </si>
  <si>
    <t>Denmark_Mesolithic</t>
  </si>
  <si>
    <t>Sytholm</t>
  </si>
  <si>
    <t>Short name</t>
  </si>
  <si>
    <t>Citation</t>
  </si>
  <si>
    <t>DOI</t>
  </si>
  <si>
    <t>Antonio, M. L., Gao, Z., Moots, H. M., Lucci, M., Candilio, F., Sawyer, S., ... &amp; Aneli, S. (2019). Ancient Rome: A genetic crossroads of Europe and the Mediterranean. Science, 366(6466), 708-714</t>
  </si>
  <si>
    <t>10.1126/science.aay6826</t>
  </si>
  <si>
    <t>Benazzi, S., Slon, V., Talamo, S., Negrino, F., Peresani, M., Bailey, S. E., ... &amp; Mannino, M. A. (2015). The makers of the Protoaurignacian and implications for Neandertal extinction. Science, 348(6236), 793-796.</t>
  </si>
  <si>
    <t>10.1126/science.aaa2773</t>
  </si>
  <si>
    <t>Bennett, E. A., Prat, S., Péan, S., Crépin, L., Yanevich, A., Puaud, S., ... &amp; Geigl, E. M. (2019). The origin of the Gravettians: genomic evidence from a 36,000-year-old Eastern European. bioRxiv, 685404.</t>
  </si>
  <si>
    <t>10.1101/685404</t>
  </si>
  <si>
    <t>Bollongino, R., Nehlich, O., Richards, M. P., Orschiedt, J., Thomas, M. G., Sell, C., ... &amp; Burger, J. (2013). 2000 years of parallel societies in Stone Age Central Europe. Science, 342(6157), 479-481</t>
  </si>
  <si>
    <t>10.1126/science.1245049</t>
  </si>
  <si>
    <t>Bortolini, E., Pagani, L., Oxilia, G, ...Early Alpine human occupation backdates westward human migration in Late Glacial Europe, bioRxiv 2020.08.10.241430</t>
  </si>
  <si>
    <t>10.1101/2020.08.10.241430</t>
  </si>
  <si>
    <t>Brace, S., Diekmann, Y., Booth, T.J. et al. (2019). Ancient genomes indicate population replacement in Early Neolithic Britain. Nat Ecol Evol 3, 765–771</t>
  </si>
  <si>
    <t xml:space="preserve"> https://doi.org/10.1038/s41559-019-0871-9</t>
  </si>
  <si>
    <t>10.1126/science.1176869</t>
  </si>
  <si>
    <t>Brunel, S., Bennett, E. A., Cardin, L., Garraud, D., Emam, H. B., Beylier, A., ... &amp; Dedet, B. (2020). Ancient genomes from present-day France unveil 7,000 years of its demographic history. Proceedings of the National Academy of Sciences, 117(23), 12791-12798.</t>
  </si>
  <si>
    <t>10.1073/pnas.1918034117</t>
  </si>
  <si>
    <t>Cassidy, L.M., Maoldúin, R.Ó., Kador, T. et al. A dynastic elite in monumental Neolithic society. Nature 582, 384–388 (2020)</t>
  </si>
  <si>
    <t>10.1038/s41586-020-2378-6</t>
  </si>
  <si>
    <t>Chyleński, M., Juras, A., Ehler, E. et al. Late Danubian mitochondrial genomes shed light into the Neolithisation of Central Europe in the 5th millennium BC. BMC Evol Biol 17, 80 (2017)</t>
  </si>
  <si>
    <t>10.1186/s12862-017-0924-0</t>
  </si>
  <si>
    <t>de Barros Damgaard, Peter, et al. "The first horse herders and the impact of early Bronze Age steppe expansions into Asia." Science 360.6396 (2018)</t>
  </si>
  <si>
    <t>10.1126/science.aar7711</t>
  </si>
  <si>
    <t>Der Sarkissian, C., Balanovsky, O., Brandt, G., Khartanovich, V., Buzhilova, A., Koshel, S., ... &amp; Shumkin, V. (2013). Ancient DNA reveals prehistoric gene-flow from Siberia in the complex human population history of North East Europe. PLoS Genet, 9(2), e1003296.</t>
  </si>
  <si>
    <t>10.1371/journal.pgen.1003296</t>
  </si>
  <si>
    <t>Feldman, M., Fernández-Domínguez, E., Reynolds, L. et al. Late Pleistocene human genome suggests a local origin for the first farmers of central Anatolia. Nat Commun 10, 1218 (2019).</t>
  </si>
  <si>
    <t>10.1038/s41467-019-09209-7</t>
  </si>
  <si>
    <t>Fu, Q., Li, H., Moorjani, P. et al. Genome sequence of a 45,000-year-old modern human from western Siberia. Nature 514, 445–449 (2014)</t>
  </si>
  <si>
    <t>10.1038/nature13810</t>
  </si>
  <si>
    <t>Fu, Q., Posth, C., Hajdinjak, M. et al. The genetic history of Ice Age Europe. Nature 534, 200–205 (2016)</t>
  </si>
  <si>
    <t>10.1038/nature17993</t>
  </si>
  <si>
    <t>Fu, Q., Mittnik, A., Johnson, P. L., Bos, K., Lari, M., Bollongino, R., ... &amp; Ronchitelli, A. M. (2013). A revised timescale for human evolution based on ancient mitochondrial genomes. Current biology, 23(7), 553-559.</t>
  </si>
  <si>
    <t>10.1016/j.cub.2013.02.044</t>
  </si>
  <si>
    <t>Furtwängler, A., Rohrlach, A.B., Lamnidis, T.C. et al. Ancient genomes reveal social and genetic structure of Late Neolithic Switzerland. Nat Commun 11, 1915 (2020)</t>
  </si>
  <si>
    <t>10.1038/s41467-020-15560-x</t>
  </si>
  <si>
    <t>Gelabert, P., Sawyer, S., Bergstrom, A., Collin, T. C., Meshvelian, T., Belfer-Cohen, A...Skoglund, P., Pinhasi, R. Genome-scale sequencing and analysis of human, wolf and bison DNA from 25,000 year-old sediment. bioRxiv (2020).</t>
  </si>
  <si>
    <t xml:space="preserve">10.1101/2021.01.08.425895 </t>
  </si>
  <si>
    <t>González-Fortes, G., Jones, E. R., Lightfoot, E., Bonsall, C., Lazar, C., Grandal-d’Anglade, A., ... &amp; Boroneanţ, A. (2017). Paleogenomic evidence for multi-generational mixing between Neolithic farmers and Mesolithic hunter-gatherers in the Lower Danube Basin. Current Biology, 27(12), 1801-1810.</t>
  </si>
  <si>
    <t>10.1016/j.cub.2017.05.023</t>
  </si>
  <si>
    <t>Günther, T., Malmström, H., Svensson, E. M., Omrak, A., Sánchez-Quinto, F., Kılınç, G. M., ... &amp; Munters, A. R. (2018). Population genomics of Mesolithic Scandinavia: Investigating early postglacial migration routes and high-latitude adaptation. PLoS biology, 16(1), e2003703.</t>
  </si>
  <si>
    <t>10.1371/journal.pbio.2003703</t>
  </si>
  <si>
    <t>Haak, W., Lazaridis, I., Patterson, N. et al. Massive migration from the steppe was a source for Indo-European languages in Europe. Nature 522, 207–211 (2015)</t>
  </si>
  <si>
    <t>10.1038/nature14317</t>
  </si>
  <si>
    <t>Hansen, J., Petersen, H. C., Frei, K. M., Courtaud, P., Tillier, A. M., Fischer, A., &amp; Allentoft, M. E. (2017). The Maglemosian skeleton from Koelbjerg, Denmark revisited: identifying sex and provenance. Danish Journal of Archaeology, 6(1), 50-66.</t>
  </si>
  <si>
    <t>10.1080/21662282.2017.1381418</t>
  </si>
  <si>
    <t>Hervella, M., Izagirre, N., Alonso, S., Fregel, R., Alonso, A., Cabrera, V. M., &amp; de la Rúa, C. (2012). Ancient DNA from hunter-gatherer and farmer groups from Northern Spain supports a random dispersion model for the Neolithic expansion into Europe. PloS one, 7(4), e34417.</t>
  </si>
  <si>
    <t>10.1371/journal.pone.0034417</t>
  </si>
  <si>
    <t>Hofmanová, Z. et al. (2016). Early farmers from across Europe directly descended from Neolithic Aegeans. Proc. Natl. Acad. Sci. 113, 6886–6891.</t>
  </si>
  <si>
    <t xml:space="preserve"> https://doi.org/10.1073/pnas.1523951113 </t>
  </si>
  <si>
    <t>Hublin, J., Sirakov, N., Aldeias, V. et al. Initial Upper Palaeolithic Homo sapiens from Bacho Kiro Cave, Bulgaria. Nature 581, 299–302 (2020)</t>
  </si>
  <si>
    <t>10.1038/s41586-020-2259-z</t>
  </si>
  <si>
    <t>Jensen, T.Z.T., Niemann, J., Iversen, K.H. et al. A 5700 year-old human genome and oral microbiome from chewed birch pitch. Nat Commun 10, 5520 (2019)</t>
  </si>
  <si>
    <t>10.1038/s41467-019-13549-9</t>
  </si>
  <si>
    <t>Jones et al. 2015</t>
  </si>
  <si>
    <t>10.1038/ncomms9912</t>
  </si>
  <si>
    <t>Jones, E. R. et al. (2017). The Neolithic transition in the Baltic was not driven by admixture with early European farmers. Curr. Biol. 27, 576–582.</t>
  </si>
  <si>
    <t>https://doi.org/10.1016/j.cub.2016.12.060</t>
  </si>
  <si>
    <t>Kılınç1, G.M., Kashub, N., Koptekin, D., Bergfeldt, N., Dönertaş, H. M. et al. Human population dynamics and Yersinia pestis in ancient northeast Asia. Science Advances  06 Jan 2021: Vol. 7, no. 2, eabc4587</t>
  </si>
  <si>
    <t>10.1126/sciadv.abc4587</t>
  </si>
  <si>
    <t>Lazaridis, I., Nadel, D., Rollefson, G. et al. Genomic insights into the origin of farming in the ancient Near East. Nature 536, 419–424 (2016)</t>
  </si>
  <si>
    <t>10.1038/nature19310</t>
  </si>
  <si>
    <t>Lee, E. J., Merriwether, D. A., Kasparov, A. K., Khartanovich, V. I., Nikolskiy, P. A., Shidlovskiy, F. K., ... &amp; Pavlova, E. Y. (2018). A genetic perspective of prehistoric hunter-gatherers in the Siberian Arctic: Mitochondrial DNA analysis of human remains from 8000 years ago. Journal of Archaeological Science: Reports, 17, 943-949</t>
  </si>
  <si>
    <t>10.1016/j.jasrep.2016.06.001</t>
  </si>
  <si>
    <t>Malmström, H. et al. (2009) Ancient DNA Reveals Lack of Continuity between Neolithic Hunter-Gatherers and Contemporary Scandinavians. Curr. Biol. 19, 1758-1762.</t>
  </si>
  <si>
    <t>https://doi.org/10.1016/j.cub.2009.09.017</t>
  </si>
  <si>
    <t>Malmström, H. et al. (2015) Ancient mitochondrial DNA from the northern fringe of the Neolithic farming expansion in Europe sheds light on the dispersion process. Phil. Trans. R. Soc. B 370, 20130373.</t>
  </si>
  <si>
    <t>https://doi.org/10.1098/rstb.2013.0373</t>
  </si>
  <si>
    <t>10.1101/2020.11.23.394502</t>
  </si>
  <si>
    <t>Mathieson, I., Alpaslan-Roodenberg, S., Posth, C. et al. The genomic history of southeastern Europe. Nature 555, 197–203 (2018). https://doi.org/10.1038/nature25778</t>
  </si>
  <si>
    <t>10.1038/nature25778</t>
  </si>
  <si>
    <t>Mittnik, A., Wang, C., Pfrengle, S. et al. The genetic prehistory of the Baltic Sea region. Nat Commun 9, 442 (2018).</t>
  </si>
  <si>
    <t>10.1038/s41467-018-02825-9</t>
  </si>
  <si>
    <t>Modi, A., Tassi, F., Susca, R. et al. Complete mitochondrial sequences from Mesolithic Sardinia. Sci Rep 7, 42869 (2017)</t>
  </si>
  <si>
    <t>10.1038/srep42869</t>
  </si>
  <si>
    <t>Narasimhan, V.M., Patterson, N., Moorjani, P., et al. "The formation of human populations in South and Central Asia." Science 365.6457 (2019): eaat7487.</t>
  </si>
  <si>
    <t>10.1126/science.aat7487</t>
  </si>
  <si>
    <t>Olalde, I., Mallick, S., Patterson, N., Rohland, N., Villalba-Mouco, V., Silva, M., ... &amp; Soares, P. (2019). The genomic history of the Iberian Peninsula over the past 8000 years. Science, 363(6432), 1230-1234</t>
  </si>
  <si>
    <t>10.1126/science.aav4040</t>
  </si>
  <si>
    <t>Olària, C. (2011): Epipaleolithic and Mesolithic Burial’s From 12.000 To 7.000 Bp in Llevantin Territory Art Rock. BAR S2224 Proceedings of the XV UISPP World Congress (Lisbon, 2006). Actes du XV Congrès Mondial (Lisbonne, 2006), vol 47. Edited by Luiz Oosterbeek and Cláudia Fidalgo. Lisboa.</t>
  </si>
  <si>
    <t>https://www.tib.eu/en/search/id/BLCP%3ACN076493829/Epipaleolithic-and-Mesolithic-Burial-s-from-12000/</t>
  </si>
  <si>
    <t>Posth, C., Renaud, G., Mittnik, A., Drucker, D. G., Rougier, H., Cupillard, C., ... &amp; Francken, M. (2016). Pleistocene mitochondrial genomes suggest a single major dispersal of non-Africans and a Late Glacial population turnover in Europe. Current Biology, 26(6), 827-833.</t>
  </si>
  <si>
    <t>10.1016/j.cub.2016.01.037</t>
  </si>
  <si>
    <t>Rivollat, M., Jeong, C., Schiffels, S., Küçükkalıpçı, İ., Pemonge, M. H., Rohrlach, A. B., ... &amp; Gronenborn, D. (2020). Ancient genome-wide DNA from France highlights the complexity of interactions between Mesolithic hunter-gatherers and Neolithic farmers. Science Advances, 6(22), eaaz5344.</t>
  </si>
  <si>
    <t>10.1126/sciadv.aaz5344</t>
  </si>
  <si>
    <t>Saag, L. et al. (2017). Extensive farming in Estonia started through a sex-biased migration from the Steppe. Curr. Biol. 27, 2185–2193.e6.</t>
  </si>
  <si>
    <t>https://doi.org/10.1016/j.cub.2017.06.022</t>
  </si>
  <si>
    <t>Saag, L. et al. (2021). Genetic ancestry changes in Stone to Bronze Age transition in the East European plain. Sci. Adv. 7 : eabd6535.</t>
  </si>
  <si>
    <t>10.1126/sciadv.abd6535</t>
  </si>
  <si>
    <t>SaagCurrBiol2017</t>
  </si>
  <si>
    <t>Saag, L., Varul, L., Scheib, C. L., Stenderup, J., Allentoft, M. E., Saag, L., ... &amp; Kriiska, A. (2017). Extensive farming in Estonia started through a sex-biased migration from the Steppe. Current biology, 27(14), 2185-2193.</t>
  </si>
  <si>
    <t>10.1016/j.cub.2017.06.022</t>
  </si>
  <si>
    <t>Saag, L., Vasilyev, S. V., Varul, L., Kosorukova, N. V., Gerasimov, D. V., Oshibkina, S. V., ... &amp; Metspalu, E. (2021). Genetic ancestry changes in Stone to Bronze Age transition in the East European plain. Science Advances, Vol. 7, no. 4, eabd6535</t>
  </si>
  <si>
    <t>Sikora et al. (2017). Ancient genomes show social and reproductive behavior of early Upper Paleolithic foragers. Science 358, 659– 662.</t>
  </si>
  <si>
    <t>10.1126/science.aao1807</t>
  </si>
  <si>
    <t>Sikora, M., Pitulko, V.V., Sousa, V.C. et al. The population history of northeastern Siberia since the Pleistocene. Nature 570, 182–188 (2019)</t>
  </si>
  <si>
    <t>10.1038/s41586-019-1279-z</t>
  </si>
  <si>
    <t>Szécsényi-Nagy, A., Brandt, G., Haak, W., Keerl, V., Jakucs, J., Möller-Rieker, S., ... &amp; Osztás, A. (2015). Tracing the genetic origin of Europe's first farmers reveals insights into their social organization. Proceedings of the Royal Society B: Biological Sciences, 282(1805), 20150339.</t>
  </si>
  <si>
    <t>10.1098/rspb.2015.0339</t>
  </si>
  <si>
    <t>Szécsényi-Nagy, A., Roth, C., Brandt, G. et al. The maternal genetic make-up of the Iberian Peninsula between the Neolithic and the Early Bronze Age. Sci Rep 7, 15644 (2017)</t>
  </si>
  <si>
    <t>10.1038/s41598-017-15480-9</t>
  </si>
  <si>
    <t>Terberger, T., Kotula, A., Lorenz, S., Schult, M., Burger, J., &amp; Jungklaus, B. (2015). Standing upright to all eternity–The Mesolithic burial site at Groß Fredenwalde, Brandenburg (NE Germany). Quartär, 62, 133-53.</t>
  </si>
  <si>
    <t>10.7485/QU62_6</t>
  </si>
  <si>
    <t>Teschler-Nicola, M., Fernandes, D., Händel, M. et al. Ancient DNA reveals monozygotic newborn twins from the Upper Palaeolithic. Commun Biol 3, 650 (2020).</t>
  </si>
  <si>
    <t>10.1038/s42003-020-01372-8</t>
  </si>
  <si>
    <t>Villalba-Mouco, V., van de Loosdrecht, M. S., Posth, C., Mora, R., Martínez-Moreno, J., Rojo-Guerra, M., ... &amp; Crevecoeur, I. (2019). Survival of Late Pleistocene hunter-gatherer ancestry in the Iberian Peninsula. Current Biology, 29(7), 1169-1177.</t>
  </si>
  <si>
    <t>10.1016/j.cub.2019.02.006</t>
  </si>
  <si>
    <t>Yu, H., Spyrou, M. A., Karapetian, M., Shnaider, S., Radzevičiūtė, R., Nägele, K., ... &amp; LeRoux, P. (2020). Paleolithic to Bronze Age Siberians Reveal Connections with First Americans and across Eurasia. Cell.</t>
  </si>
  <si>
    <t>10.1016/j.cell.2020.04.037</t>
  </si>
  <si>
    <t>Raghavan et al. 2014</t>
  </si>
  <si>
    <t>Raghavan, M., Skoglund, P., Graf, K. et al. Upper Palaeolithic Siberian genome reveals dual ancestry of Native Americans. Nature 505, 87–91 (2014)</t>
  </si>
  <si>
    <t>10.1038/nature12736</t>
  </si>
  <si>
    <t>Gamba, C., Jones, E., Teasdale, M. et al. Genome flux and stasis in a five millennium transect of European prehistory. Nat Commun 5, 5257 (2014)</t>
  </si>
  <si>
    <t>10.1038/ncomms6257</t>
  </si>
  <si>
    <t>Lazaridis et al. 2014</t>
  </si>
  <si>
    <t>Lazaridis, I., Patterson, N., Mittnik, A. et al. Ancient human genomes suggest three ancestral populations for present-day Europeans. Nature 513, 409–413 (2014)</t>
  </si>
  <si>
    <t>JensenNatCommun2019</t>
  </si>
  <si>
    <t>20.500.12030/863</t>
  </si>
  <si>
    <t>R1bV88*</t>
  </si>
  <si>
    <t>Hofmanová, Zuzana (2017). Dissertation. Palaeogenomic and biostatistical analysis of ancient DNA data from Mesolithic and Neolithic skeletal remains.Johannes Gutenberg-Universität Mainz</t>
  </si>
  <si>
    <t>Blöcher, Jens. Genetic variation related to the adaptation of humans to an agriculturalist lifestyle. Diss. Johannes Gutenberg-Universität Mainz, 2019.</t>
  </si>
  <si>
    <t>urn:nbn:de:hebis:77-diss-1000034808</t>
  </si>
  <si>
    <t>LEPE18</t>
  </si>
  <si>
    <t>LEPE39</t>
  </si>
  <si>
    <t>LEPE45</t>
  </si>
  <si>
    <t>LEPE51</t>
  </si>
  <si>
    <t>LEPE53</t>
  </si>
  <si>
    <t>VLASA10</t>
  </si>
  <si>
    <t>VLASA4</t>
  </si>
  <si>
    <t>VLASA41</t>
  </si>
  <si>
    <t>VLASA44</t>
  </si>
  <si>
    <t>Fernandez2005</t>
  </si>
  <si>
    <t>Fernández Domínguez, Eva. PhD Thesis. Polimorfismos de DNA mitocondrial en poblaciones antiguas de la cuenca mediterránea. Universidad de Barcelona.</t>
  </si>
  <si>
    <t>2445/35896</t>
  </si>
  <si>
    <t xml:space="preserve">Nerja, Málaga </t>
  </si>
  <si>
    <t>NE-NT 79</t>
  </si>
  <si>
    <t>Mathieson et al. 2018 (shotgunned in Gamba et al. 2014, capture of same sample )</t>
  </si>
  <si>
    <t>Mathieson et al. 2018 (first published in Fu et al. 2016)</t>
  </si>
  <si>
    <t>Jones, E. R., et al. (2015) Upper Palaeolithic genomes reveal deep roots of modern Eurasians. Nature Commun. , vol. 6, no. 8912</t>
  </si>
  <si>
    <t>https://doi.org/10.1038/s42003-019-0399-1</t>
  </si>
  <si>
    <t xml:space="preserve">Kashuba, K. et al. (2019). Ancient DNA from mastics solidifies connection between material culture and genetics of mesolithic hunter–gatherers in Scandinavia.COMMUNICATIONS BIOLOGY 2:185 (2019) </t>
  </si>
  <si>
    <t>Kashuba et al. 2019</t>
  </si>
  <si>
    <t>Huseby Klev</t>
  </si>
  <si>
    <t>ble004</t>
  </si>
  <si>
    <t>ble007</t>
  </si>
  <si>
    <t>ble008</t>
  </si>
  <si>
    <t>thesesups.ups-tlse.fr/1392/</t>
  </si>
  <si>
    <t>LTZ-T7</t>
  </si>
  <si>
    <t>S11</t>
  </si>
  <si>
    <t>S12</t>
  </si>
  <si>
    <t>Linatzeta, Lastur, Deba, Gipuzkoa</t>
  </si>
  <si>
    <t xml:space="preserve">Santimamiñe, Cortézubi </t>
  </si>
  <si>
    <t>Iberia_Mesolithic</t>
  </si>
  <si>
    <t>Canes1</t>
  </si>
  <si>
    <t>Canes.SG</t>
  </si>
  <si>
    <t>Chan.SG</t>
  </si>
  <si>
    <t>Chan, Elba</t>
  </si>
  <si>
    <t>Balma Guilanyà, Navés, Lleida</t>
  </si>
  <si>
    <t>BAL051</t>
  </si>
  <si>
    <t>mur.sG</t>
  </si>
  <si>
    <t>G2a2a1a3 / G2a2-L1259</t>
  </si>
  <si>
    <t>CB13.SG</t>
  </si>
  <si>
    <t>atp005.SG</t>
  </si>
  <si>
    <t>ElMirón_c</t>
  </si>
  <si>
    <t>ElMIron</t>
  </si>
  <si>
    <t>Blöcher2019</t>
  </si>
  <si>
    <t>Anatolia: see Turkey</t>
  </si>
  <si>
    <t>Marchi et al. 2022</t>
  </si>
  <si>
    <t>Grad-Starcevo</t>
  </si>
  <si>
    <t>Vinca-Belo Brdo</t>
  </si>
  <si>
    <t>Early-middle Neolithic (E-MN)</t>
  </si>
  <si>
    <r>
      <t xml:space="preserve">Malmström, H. </t>
    </r>
    <r>
      <rPr>
        <i/>
        <sz val="11"/>
        <color theme="1"/>
        <rFont val="Calibri"/>
        <family val="2"/>
        <scheme val="minor"/>
      </rPr>
      <t>et al</t>
    </r>
    <r>
      <rPr>
        <sz val="11"/>
        <color theme="1"/>
        <rFont val="Calibri"/>
        <family val="2"/>
        <scheme val="minor"/>
      </rPr>
      <t xml:space="preserve">. The genomic ancestry of the Scandinavian Battle Axe Culture people and their relation to the broader Corded Ware horizon. </t>
    </r>
    <r>
      <rPr>
        <i/>
        <sz val="11"/>
        <color theme="1"/>
        <rFont val="Calibri"/>
        <family val="2"/>
        <scheme val="minor"/>
      </rPr>
      <t>Proc. R. Soc. B</t>
    </r>
    <r>
      <rPr>
        <sz val="11"/>
        <color theme="1"/>
        <rFont val="Calibri"/>
        <family val="2"/>
        <scheme val="minor"/>
      </rPr>
      <t xml:space="preserve"> </t>
    </r>
    <r>
      <rPr>
        <b/>
        <sz val="11"/>
        <color theme="1"/>
        <rFont val="Calibri"/>
        <family val="2"/>
        <scheme val="minor"/>
      </rPr>
      <t>286</t>
    </r>
    <r>
      <rPr>
        <sz val="11"/>
        <color theme="1"/>
        <rFont val="Calibri"/>
        <family val="2"/>
        <scheme val="minor"/>
      </rPr>
      <t xml:space="preserve">: 20191528 (2019). Dates and haplogroups appear in main paper, Table 1, p3. </t>
    </r>
  </si>
  <si>
    <r>
      <t xml:space="preserve">Marchi, N. </t>
    </r>
    <r>
      <rPr>
        <i/>
        <sz val="11"/>
        <color theme="1"/>
        <rFont val="Calibri"/>
        <family val="2"/>
        <scheme val="minor"/>
      </rPr>
      <t>et al.</t>
    </r>
    <r>
      <rPr>
        <sz val="11"/>
        <color theme="1"/>
        <rFont val="Calibri"/>
        <family val="2"/>
        <scheme val="minor"/>
      </rPr>
      <t xml:space="preserve">The genomic origins of the world's first farmers. </t>
    </r>
    <r>
      <rPr>
        <i/>
        <sz val="11"/>
        <color theme="1"/>
        <rFont val="Calibri"/>
        <family val="2"/>
        <scheme val="minor"/>
      </rPr>
      <t>Cell</t>
    </r>
    <r>
      <rPr>
        <sz val="11"/>
        <color theme="1"/>
        <rFont val="Calibri"/>
        <family val="2"/>
        <scheme val="minor"/>
      </rPr>
      <t xml:space="preserve"> </t>
    </r>
    <r>
      <rPr>
        <b/>
        <sz val="11"/>
        <color theme="1"/>
        <rFont val="Calibri"/>
        <family val="2"/>
        <scheme val="minor"/>
      </rPr>
      <t>185</t>
    </r>
    <r>
      <rPr>
        <sz val="11"/>
        <color theme="1"/>
        <rFont val="Calibri"/>
        <family val="2"/>
        <scheme val="minor"/>
      </rPr>
      <t>, 1842-2859 (2022), main paper, table 1.</t>
    </r>
  </si>
  <si>
    <t>* New data added from old references</t>
  </si>
  <si>
    <t>T2e2</t>
  </si>
  <si>
    <t>HV-16311</t>
  </si>
  <si>
    <t>STAR1</t>
  </si>
  <si>
    <t>VC3-2</t>
  </si>
  <si>
    <t>G2a2a1a3</t>
  </si>
  <si>
    <t>Aktopraklik</t>
  </si>
  <si>
    <t>AKT16</t>
  </si>
  <si>
    <t>Bar25</t>
  </si>
  <si>
    <t>Blöcher 2019</t>
  </si>
  <si>
    <t>AKT18g</t>
  </si>
  <si>
    <t>H2a2a</t>
  </si>
  <si>
    <t>AKT26g</t>
  </si>
  <si>
    <t>AKT20g</t>
  </si>
  <si>
    <t>AKT6g</t>
  </si>
  <si>
    <t>Bar15</t>
  </si>
  <si>
    <t>Bar16</t>
  </si>
  <si>
    <t>Bar11</t>
  </si>
  <si>
    <t>Bar32</t>
  </si>
  <si>
    <t>mtDNA haplogroup</t>
  </si>
  <si>
    <t>Long.</t>
  </si>
  <si>
    <t>Comments</t>
  </si>
  <si>
    <t>Klein2</t>
  </si>
  <si>
    <t>Dillingen</t>
  </si>
  <si>
    <t>Dil15</t>
  </si>
  <si>
    <t>Asp3</t>
  </si>
  <si>
    <t>Klein3</t>
  </si>
  <si>
    <t>282-126-7</t>
  </si>
  <si>
    <t>Asp10</t>
  </si>
  <si>
    <t>Asp1</t>
  </si>
  <si>
    <t>282-23-1</t>
  </si>
  <si>
    <t>282-104-4</t>
  </si>
  <si>
    <t>K1a4a1i</t>
  </si>
  <si>
    <t>281-19-6</t>
  </si>
  <si>
    <t>282-88-2</t>
  </si>
  <si>
    <t>K1a+150</t>
  </si>
  <si>
    <t>Within the time interval of the Mesolithic according to Mathieson 2018, SI p. 33</t>
  </si>
  <si>
    <t>Mathieson 2018 in SI table 1 (and main paper, p. 3) classify this individual as a HG (although in SI, p. 37 they consider its date as belonging to the Mesolithic-Neolithic transition).</t>
  </si>
  <si>
    <t>Klein1</t>
  </si>
  <si>
    <t>Asp2</t>
  </si>
  <si>
    <t>Asp4</t>
  </si>
  <si>
    <t>Asp6</t>
  </si>
  <si>
    <t>Asp8</t>
  </si>
  <si>
    <t>VLASA37</t>
  </si>
  <si>
    <t>Zv122</t>
  </si>
  <si>
    <t>Zv162</t>
  </si>
  <si>
    <t>Zv170</t>
  </si>
  <si>
    <t>Zv39</t>
  </si>
  <si>
    <t>Zv76</t>
  </si>
  <si>
    <t>Assuming that he is a HG is consistent with the fact that for this site the earliest farmer in Mathieson (2018) is 4329-4067 cal BCE and the latest HG is 4837-4713 cal BCE</t>
  </si>
  <si>
    <t>282-126-16</t>
  </si>
  <si>
    <t>282-13-7</t>
  </si>
  <si>
    <t>282-94-11</t>
  </si>
  <si>
    <t>HV+16311</t>
  </si>
  <si>
    <t>Asparn-Schletz</t>
  </si>
  <si>
    <t>Dil16</t>
  </si>
  <si>
    <t>Essenbach-Ammerbreite</t>
  </si>
  <si>
    <t>Ess7</t>
  </si>
  <si>
    <t>G2a2b2a1a1</t>
  </si>
  <si>
    <t>Klein10</t>
  </si>
  <si>
    <t>Kelin4</t>
  </si>
  <si>
    <t>Kelin5</t>
  </si>
  <si>
    <t>Klein8</t>
  </si>
  <si>
    <t>Nea Nikomedeia</t>
  </si>
  <si>
    <t>K1a2c</t>
  </si>
  <si>
    <t>Nea3</t>
  </si>
  <si>
    <t>Nea2</t>
  </si>
  <si>
    <t>W1-119</t>
  </si>
  <si>
    <t>G2a2b2a3</t>
  </si>
  <si>
    <t>G2a2b2a1a1c</t>
  </si>
  <si>
    <t>Herx</t>
  </si>
  <si>
    <t>Herxheim</t>
  </si>
  <si>
    <t>Zv317</t>
  </si>
  <si>
    <t>Minino</t>
  </si>
  <si>
    <t>Schulz2015</t>
  </si>
  <si>
    <t>Schulz 2015</t>
  </si>
  <si>
    <t>Schulz, Anna (2016). Ph.D. Thesis. Paläo- und Populationsgenetik von Jäger-Sammler-Fischern und Ackerbauern in Nordzentraleuropa und angrenzenden Regionen</t>
  </si>
  <si>
    <t>20.500.12030/2834</t>
  </si>
  <si>
    <t>MIN6</t>
  </si>
  <si>
    <t>MIN12</t>
  </si>
  <si>
    <t>MIN1</t>
  </si>
  <si>
    <t>MIN10</t>
  </si>
  <si>
    <t>MIN11</t>
  </si>
  <si>
    <t>MIN2</t>
  </si>
  <si>
    <t>MIN5</t>
  </si>
  <si>
    <t>MIN8</t>
  </si>
  <si>
    <t>MIN3</t>
  </si>
  <si>
    <t>Data range from https:/indo-european.eu/ancient-dna/</t>
  </si>
  <si>
    <t>Russia_East_HG</t>
  </si>
  <si>
    <t>Criewen</t>
  </si>
  <si>
    <t>Gr1</t>
  </si>
  <si>
    <t>Gr2</t>
  </si>
  <si>
    <t>Europa 1</t>
  </si>
  <si>
    <t>Rohrlach, A.B., Papac, L., Childebayeva, A. et al. Using Y-chromosome capture enrichment to resolve haplogroup H2 shows new evidence for a two-path Neolithic expansion to Western Europe. Sci Rep 11, 15005 (2021).</t>
  </si>
  <si>
    <t>Rohrlach et al. 2021</t>
  </si>
  <si>
    <t>H1j</t>
  </si>
  <si>
    <t>V1a</t>
  </si>
  <si>
    <t>K1a3a3</t>
  </si>
  <si>
    <t>DER004</t>
  </si>
  <si>
    <t>DER009</t>
  </si>
  <si>
    <t>DER011</t>
  </si>
  <si>
    <t>DER014</t>
  </si>
  <si>
    <t>DER026</t>
  </si>
  <si>
    <t>DER032</t>
  </si>
  <si>
    <t xml:space="preserve">Y hapologroup and date interval from https://indo-european.eu/ancient-dna/ </t>
  </si>
  <si>
    <t>H2d2</t>
  </si>
  <si>
    <t>Rohrlach et al. 2021**</t>
  </si>
  <si>
    <t>** Two additional individuals (DER020 and DER30) have also Y-DNA haplogroup H2d2 but unknown mtDNA haplogroup.</t>
  </si>
  <si>
    <t>Yu et al. 2022</t>
  </si>
  <si>
    <t>Yu, H. et al. Genomic and dietary discontinuities during the Mesolithic and Early Neolithic in Sicily.  bioRxiv pre-print (2020). Dates and haplogroups appear in Supp. Info., table S1.1.</t>
  </si>
  <si>
    <t>https://www.sciencedirect.com/science/article/pii/S2589004222005144</t>
  </si>
  <si>
    <t>Fowler et al. 2022</t>
  </si>
  <si>
    <r>
      <t xml:space="preserve">Fowler, C. </t>
    </r>
    <r>
      <rPr>
        <i/>
        <sz val="11"/>
        <color theme="1"/>
        <rFont val="Calibri"/>
        <family val="2"/>
        <scheme val="minor"/>
      </rPr>
      <t xml:space="preserve">et al. </t>
    </r>
    <r>
      <rPr>
        <sz val="11"/>
        <color theme="1"/>
        <rFont val="Calibri"/>
        <family val="2"/>
        <scheme val="minor"/>
      </rPr>
      <t xml:space="preserve">A high-resolution picture of kinship practices in an Early Neolithic tomb. </t>
    </r>
    <r>
      <rPr>
        <i/>
        <sz val="11"/>
        <color theme="1"/>
        <rFont val="Calibri"/>
        <family val="2"/>
        <scheme val="minor"/>
      </rPr>
      <t>Nature</t>
    </r>
    <r>
      <rPr>
        <b/>
        <sz val="11"/>
        <color theme="1"/>
        <rFont val="Calibri"/>
        <family val="2"/>
        <scheme val="minor"/>
      </rPr>
      <t xml:space="preserve"> 601</t>
    </r>
    <r>
      <rPr>
        <sz val="11"/>
        <color theme="1"/>
        <rFont val="Calibri"/>
        <family val="2"/>
        <scheme val="minor"/>
      </rPr>
      <t>, 584-587 (2022).</t>
    </r>
  </si>
  <si>
    <t>Hazleton North long cairn</t>
  </si>
  <si>
    <t>I20818</t>
  </si>
  <si>
    <t>I13890</t>
  </si>
  <si>
    <t>I21393</t>
  </si>
  <si>
    <t>I20821</t>
  </si>
  <si>
    <t>I30293</t>
  </si>
  <si>
    <t>I30332</t>
  </si>
  <si>
    <t>I21385</t>
  </si>
  <si>
    <t>I13895</t>
  </si>
  <si>
    <t>I21395</t>
  </si>
  <si>
    <t>I21389</t>
  </si>
  <si>
    <t>I30311</t>
  </si>
  <si>
    <t>I13891</t>
  </si>
  <si>
    <t>I12438</t>
  </si>
  <si>
    <t>I21387</t>
  </si>
  <si>
    <t>I30299</t>
  </si>
  <si>
    <t>I12440</t>
  </si>
  <si>
    <t>I30302</t>
  </si>
  <si>
    <t>I30301</t>
  </si>
  <si>
    <t>I21391</t>
  </si>
  <si>
    <t>I13889</t>
  </si>
  <si>
    <t>I13896</t>
  </si>
  <si>
    <t>I13893</t>
  </si>
  <si>
    <t>I13897</t>
  </si>
  <si>
    <t>I13898</t>
  </si>
  <si>
    <t>I12437</t>
  </si>
  <si>
    <t>I21392</t>
  </si>
  <si>
    <t>I12439</t>
  </si>
  <si>
    <t>I30304</t>
  </si>
  <si>
    <t>I13888</t>
  </si>
  <si>
    <t>I21388</t>
  </si>
  <si>
    <t>I13892</t>
  </si>
  <si>
    <t>I30334</t>
  </si>
  <si>
    <t>I21390</t>
  </si>
  <si>
    <t>I30300</t>
  </si>
  <si>
    <t>I13899</t>
  </si>
  <si>
    <t>SE4m(D)</t>
  </si>
  <si>
    <t>SP4m(i)</t>
  </si>
  <si>
    <t>SP3m</t>
  </si>
  <si>
    <t>SP2m(vi)</t>
  </si>
  <si>
    <t>SE6f</t>
  </si>
  <si>
    <t>SE2m(v)</t>
  </si>
  <si>
    <t>SE3m</t>
  </si>
  <si>
    <t>SE1m</t>
  </si>
  <si>
    <t>SC8m</t>
  </si>
  <si>
    <t>SC5m(E)</t>
  </si>
  <si>
    <t>SC7m</t>
  </si>
  <si>
    <t>SC6m</t>
  </si>
  <si>
    <t>SC3m(ix)</t>
  </si>
  <si>
    <t>SC4f</t>
  </si>
  <si>
    <t>SP1m(ii)</t>
  </si>
  <si>
    <t>SC2m</t>
  </si>
  <si>
    <t>SC1f</t>
  </si>
  <si>
    <t>SE5m</t>
  </si>
  <si>
    <t>HN1f</t>
  </si>
  <si>
    <t>SC10f(viii)</t>
  </si>
  <si>
    <t>SC9f</t>
  </si>
  <si>
    <t>NE4m(1)</t>
  </si>
  <si>
    <t>NE3m(B)</t>
  </si>
  <si>
    <t>NE1m(2)</t>
  </si>
  <si>
    <t>NE2m(A)</t>
  </si>
  <si>
    <t>NC6m(H)</t>
  </si>
  <si>
    <t>NC9m</t>
  </si>
  <si>
    <t>NC8m</t>
  </si>
  <si>
    <t>NC7f</t>
  </si>
  <si>
    <t>NC4m</t>
  </si>
  <si>
    <t>NC5m(G)</t>
  </si>
  <si>
    <t>NC3f(F)</t>
  </si>
  <si>
    <t>NC2f(C)</t>
  </si>
  <si>
    <t>NC1m</t>
  </si>
  <si>
    <t>NC10m</t>
  </si>
  <si>
    <t>U5b1+16189</t>
  </si>
  <si>
    <t>n/a (&lt;2x coverage)</t>
  </si>
  <si>
    <t>K1d</t>
  </si>
  <si>
    <t>J1c1b1</t>
  </si>
  <si>
    <t>K2b1</t>
  </si>
  <si>
    <t>K1b1a1d</t>
  </si>
  <si>
    <t>N1b1b</t>
  </si>
  <si>
    <t>U3a1</t>
  </si>
  <si>
    <t>I2a1b1a1a1</t>
  </si>
  <si>
    <t>I2a1b1a</t>
  </si>
  <si>
    <t>I2a1a1b</t>
  </si>
  <si>
    <t>n/a (too few SNPs)</t>
  </si>
  <si>
    <t>Max and min cal BCE estimated from the dated individuals at this site</t>
  </si>
  <si>
    <t>C1a2b1</t>
  </si>
  <si>
    <t>Sicily MN</t>
  </si>
  <si>
    <t>UZZ77</t>
  </si>
  <si>
    <t>Yu et al. 2022, SI, text 2 (reported by Mathieson et al. 2018)</t>
  </si>
  <si>
    <t>Allentoft et al. 2022</t>
  </si>
  <si>
    <t>https://www.biorxiv.org/content/10.1101/2022.05.04.490594v2</t>
  </si>
  <si>
    <t>Allentoft, M. E., Sikora, M., Refoyou-Martínez, A., Irving-Pease, E. K., Fischer, A., ... &amp; Willerslev, E. (2022). Population genomics of stone age Eurasia. bioRxiv preprint doi: https://doi.org/10.1101/2022.05.04.490594 (accessed 31/05/2022).</t>
  </si>
  <si>
    <t>Sigersdal Mose</t>
  </si>
  <si>
    <t>EN/MN A</t>
  </si>
  <si>
    <t>CGG_2_015915</t>
  </si>
  <si>
    <t>Jorløse mose</t>
  </si>
  <si>
    <t>U5b1b2</t>
  </si>
  <si>
    <t>I2a</t>
  </si>
  <si>
    <t>EN</t>
  </si>
  <si>
    <t>NEO28</t>
  </si>
  <si>
    <t>CGG_2_016068</t>
  </si>
  <si>
    <t>Salpetermosen syd 8</t>
  </si>
  <si>
    <t>NEO29</t>
  </si>
  <si>
    <t>Lohals</t>
  </si>
  <si>
    <t>T2b11</t>
  </si>
  <si>
    <t>CGG_2_015917 + 18</t>
  </si>
  <si>
    <t>NEO7</t>
  </si>
  <si>
    <t>NEO23</t>
  </si>
  <si>
    <t>NEO41</t>
  </si>
  <si>
    <t>CGG_2_015635</t>
  </si>
  <si>
    <t>Rude</t>
  </si>
  <si>
    <t>J2a1a1a</t>
  </si>
  <si>
    <t>NEO46</t>
  </si>
  <si>
    <t>CGG_2_015492</t>
  </si>
  <si>
    <t>Ängdala</t>
  </si>
  <si>
    <t>NEO128</t>
  </si>
  <si>
    <t>CGG_2_017612</t>
  </si>
  <si>
    <t>NEO130</t>
  </si>
  <si>
    <t>CGG_2_017614</t>
  </si>
  <si>
    <t>NEO137</t>
  </si>
  <si>
    <t>CGG_2_017621</t>
  </si>
  <si>
    <t>EN, LBK</t>
  </si>
  <si>
    <t>EN, Körös</t>
  </si>
  <si>
    <t>Vedrovice</t>
  </si>
  <si>
    <t>Dezsk</t>
  </si>
  <si>
    <t>Hödmezövasarhely Kotac</t>
  </si>
  <si>
    <t>NEO260</t>
  </si>
  <si>
    <t>CGG_2_018092</t>
  </si>
  <si>
    <t>Evensås</t>
  </si>
  <si>
    <t>NEO564</t>
  </si>
  <si>
    <t>CGG_2_018468</t>
  </si>
  <si>
    <t>NEO566</t>
  </si>
  <si>
    <t>CGG_2_018470</t>
  </si>
  <si>
    <t>Bygholm Nørremark</t>
  </si>
  <si>
    <t>Døjringe</t>
  </si>
  <si>
    <t>J1c3j</t>
  </si>
  <si>
    <t>NEO571</t>
  </si>
  <si>
    <t>CGG_2_018475</t>
  </si>
  <si>
    <t>Grøfte</t>
  </si>
  <si>
    <t>NEO595</t>
  </si>
  <si>
    <t>CGG_2_018499</t>
  </si>
  <si>
    <t>Pandebjerg</t>
  </si>
  <si>
    <t>NEO601</t>
  </si>
  <si>
    <t>CGG_2_018505</t>
  </si>
  <si>
    <t>Viksø Mose</t>
  </si>
  <si>
    <t>EN (Early Neolithic)</t>
  </si>
  <si>
    <t>Banks tomb, Orkney</t>
  </si>
  <si>
    <t>H67</t>
  </si>
  <si>
    <t>NEO624</t>
  </si>
  <si>
    <t>CGG_2_018546</t>
  </si>
  <si>
    <t>NEO625</t>
  </si>
  <si>
    <t>CGG_2_018547</t>
  </si>
  <si>
    <t>NEO626</t>
  </si>
  <si>
    <t>CGG_2_018548</t>
  </si>
  <si>
    <t>NEO627</t>
  </si>
  <si>
    <t>CGG_2_018549</t>
  </si>
  <si>
    <t>NEO630</t>
  </si>
  <si>
    <t>CGG_2_018552</t>
  </si>
  <si>
    <t>T2b3+151</t>
  </si>
  <si>
    <t>NEO631</t>
  </si>
  <si>
    <t>CGG_2_018553</t>
  </si>
  <si>
    <t>NEO632</t>
  </si>
  <si>
    <t>CGG_2_018554</t>
  </si>
  <si>
    <t>NEO645</t>
  </si>
  <si>
    <t>CGG_2_018567</t>
  </si>
  <si>
    <t>Rødhals</t>
  </si>
  <si>
    <t>K1e</t>
  </si>
  <si>
    <t>NEO695</t>
  </si>
  <si>
    <t>CGG_2_019379</t>
  </si>
  <si>
    <t>Maddalena di Muccia</t>
  </si>
  <si>
    <t>NEO702</t>
  </si>
  <si>
    <t>CGG_2_019386</t>
  </si>
  <si>
    <t>Jørlundegård</t>
  </si>
  <si>
    <t>K1a1a2</t>
  </si>
  <si>
    <t>NEO717</t>
  </si>
  <si>
    <t>CGG_2_018145</t>
  </si>
  <si>
    <t>NEO744</t>
  </si>
  <si>
    <t>CGG_2_019634</t>
  </si>
  <si>
    <t>Vig Femhøve</t>
  </si>
  <si>
    <t>Q1b</t>
  </si>
  <si>
    <t>NEO753</t>
  </si>
  <si>
    <t>CGG_2_019643</t>
  </si>
  <si>
    <t>NEO757</t>
  </si>
  <si>
    <t>CGG_2_019647</t>
  </si>
  <si>
    <t>Sigersdal Mose 2</t>
  </si>
  <si>
    <t>Sejerby</t>
  </si>
  <si>
    <t>NEO790</t>
  </si>
  <si>
    <t>CGG_2_019692</t>
  </si>
  <si>
    <t>Tysmose</t>
  </si>
  <si>
    <t>HV16</t>
  </si>
  <si>
    <t>NEO795</t>
  </si>
  <si>
    <t>CGG_2_019697</t>
  </si>
  <si>
    <t>Porsmose</t>
  </si>
  <si>
    <t>NEO812</t>
  </si>
  <si>
    <t>CGG_2_019939</t>
  </si>
  <si>
    <t>NEO813</t>
  </si>
  <si>
    <t>CGG_2_019940</t>
  </si>
  <si>
    <t>Grotte du Gazel</t>
  </si>
  <si>
    <t>Cardial, Neolithic</t>
  </si>
  <si>
    <t>NEO834</t>
  </si>
  <si>
    <t>CGG_2_020569</t>
  </si>
  <si>
    <t>Mora Cavorso</t>
  </si>
  <si>
    <t>G2a</t>
  </si>
  <si>
    <t>NEO847</t>
  </si>
  <si>
    <t>CGG_2_020725</t>
  </si>
  <si>
    <t>Hetty Peglers Tump</t>
  </si>
  <si>
    <t>X2b4</t>
  </si>
  <si>
    <t>NEO865</t>
  </si>
  <si>
    <t>CGG_2_021401</t>
  </si>
  <si>
    <t>NEO866</t>
  </si>
  <si>
    <t>CGG_2_021402</t>
  </si>
  <si>
    <t>J1c3g</t>
  </si>
  <si>
    <t>Lundby-Falster</t>
  </si>
  <si>
    <t>NEO886</t>
  </si>
  <si>
    <t>CGG_2_021422 + CGG_2_023280</t>
  </si>
  <si>
    <t>Dalmosegaard</t>
  </si>
  <si>
    <t>NEO891</t>
  </si>
  <si>
    <t>CGG_2_022101</t>
  </si>
  <si>
    <t>Roskilde Fjord (south of Jyllinge)</t>
  </si>
  <si>
    <t>Mandemarke</t>
  </si>
  <si>
    <t>NEO925</t>
  </si>
  <si>
    <t>CGG_2_022147</t>
  </si>
  <si>
    <t>W1</t>
  </si>
  <si>
    <t>Myrebjerg mose</t>
  </si>
  <si>
    <t>failed, context date</t>
  </si>
  <si>
    <t>NEO933</t>
  </si>
  <si>
    <t>CGG_2_022295</t>
  </si>
  <si>
    <t>Sludegård Sømose</t>
  </si>
  <si>
    <t>Vibygårds Mose</t>
  </si>
  <si>
    <t>NEO935</t>
  </si>
  <si>
    <t>CGG_2_022562</t>
  </si>
  <si>
    <t>NEO942</t>
  </si>
  <si>
    <t>CGG_2_023264</t>
  </si>
  <si>
    <t>NEO945</t>
  </si>
  <si>
    <t>CGG_2_023267</t>
  </si>
  <si>
    <t>CGG_2_101281</t>
  </si>
  <si>
    <t>Tissøe</t>
  </si>
  <si>
    <t>Læsten Mose</t>
  </si>
  <si>
    <t>Dragsholm</t>
  </si>
  <si>
    <t>H1b1</t>
  </si>
  <si>
    <t>HG ancestry but bone collagen dietary signature of farmer (Supp. Info., part 2, p. 219)</t>
  </si>
  <si>
    <t>NEO962, NEO962b</t>
  </si>
  <si>
    <t>Holmegård-Djursland</t>
  </si>
  <si>
    <t>Vængesø II</t>
  </si>
  <si>
    <t>U5a'b</t>
  </si>
  <si>
    <t>NEO001</t>
  </si>
  <si>
    <t>NEO003</t>
  </si>
  <si>
    <t>NEO013</t>
  </si>
  <si>
    <t>Hedegaard (Bislev)</t>
  </si>
  <si>
    <t>NEO017</t>
  </si>
  <si>
    <t>CGG_2_015922</t>
  </si>
  <si>
    <t>NEO018</t>
  </si>
  <si>
    <t>CGG_2_015925</t>
  </si>
  <si>
    <t>Hanaskede</t>
  </si>
  <si>
    <t>NEO019</t>
  </si>
  <si>
    <t>CGG_2_015920</t>
  </si>
  <si>
    <t>Røntesten</t>
  </si>
  <si>
    <t>U5a2b</t>
  </si>
  <si>
    <t>NEO027</t>
  </si>
  <si>
    <t>CGG_2_016070</t>
  </si>
  <si>
    <t>NEO091</t>
  </si>
  <si>
    <t>CGG_2_015818</t>
  </si>
  <si>
    <t>Strøby Grøftemark</t>
  </si>
  <si>
    <t>NEO122</t>
  </si>
  <si>
    <t>CGG_2_017606</t>
  </si>
  <si>
    <t>NEO123</t>
  </si>
  <si>
    <t>CGG_2_017607</t>
  </si>
  <si>
    <t>Orehoved Sejlrende</t>
  </si>
  <si>
    <t>NEO254</t>
  </si>
  <si>
    <t>CGG_2_017859</t>
  </si>
  <si>
    <t>NEO568</t>
  </si>
  <si>
    <t>CGG_2_018472</t>
  </si>
  <si>
    <t>NEO569</t>
  </si>
  <si>
    <t>CGG_2_018473</t>
  </si>
  <si>
    <t>NEO570</t>
  </si>
  <si>
    <t>CGG_2_018474</t>
  </si>
  <si>
    <t>Ertebølle</t>
  </si>
  <si>
    <t>Fannerup E</t>
  </si>
  <si>
    <t>NEO583</t>
  </si>
  <si>
    <t>CGG_2_018487</t>
  </si>
  <si>
    <t>NEO586</t>
  </si>
  <si>
    <t>CGG_2_018490</t>
  </si>
  <si>
    <t>NEO587</t>
  </si>
  <si>
    <t>CGG_2_018491</t>
  </si>
  <si>
    <t>NEO589</t>
  </si>
  <si>
    <t>CGG_2_018493</t>
  </si>
  <si>
    <t>Koed</t>
  </si>
  <si>
    <t>Kongemose</t>
  </si>
  <si>
    <t>Korsør Nor</t>
  </si>
  <si>
    <t>NEO598</t>
  </si>
  <si>
    <t>CGG_2_018502</t>
  </si>
  <si>
    <t>Sølager</t>
  </si>
  <si>
    <t>NEO600</t>
  </si>
  <si>
    <t>CGG_2_018504</t>
  </si>
  <si>
    <t>Vedbaek boldbaner</t>
  </si>
  <si>
    <t>NEO646</t>
  </si>
  <si>
    <t>CGG_2_018568</t>
  </si>
  <si>
    <t>NEO648</t>
  </si>
  <si>
    <t>CGG_2_018570</t>
  </si>
  <si>
    <t>El Mazo</t>
  </si>
  <si>
    <t>El Toral III</t>
  </si>
  <si>
    <t>Erroneously classified as HG (with wrong dates) in https://indo-european.eu/ancient-dna/ (accessed 10 August 2022).</t>
  </si>
  <si>
    <t>Lepenski Vir?</t>
  </si>
  <si>
    <t>NEO655</t>
  </si>
  <si>
    <t>CGG_2_018580</t>
  </si>
  <si>
    <t>NEO657</t>
  </si>
  <si>
    <t>CGG_2_018582</t>
  </si>
  <si>
    <t>NEO658</t>
  </si>
  <si>
    <t>CGG_2_018583</t>
  </si>
  <si>
    <t>NEO669</t>
  </si>
  <si>
    <t>CGG_2_018594</t>
  </si>
  <si>
    <t>Allentoft et al. 2023</t>
  </si>
  <si>
    <t>NEO677</t>
  </si>
  <si>
    <t>CGG_2_018602</t>
  </si>
  <si>
    <t>Bredgården</t>
  </si>
  <si>
    <t>Skateholm I</t>
  </si>
  <si>
    <t>NEO679</t>
  </si>
  <si>
    <t>CGG_2_018677</t>
  </si>
  <si>
    <t>Tybrind Vig</t>
  </si>
  <si>
    <t>NEO683</t>
  </si>
  <si>
    <t>CGG_2_018681</t>
  </si>
  <si>
    <t>NEO732</t>
  </si>
  <si>
    <t>CGG_2_019622</t>
  </si>
  <si>
    <t>NEO733</t>
  </si>
  <si>
    <t>CGG_2_019623</t>
  </si>
  <si>
    <t>NEO745</t>
  </si>
  <si>
    <t>CGG_2_019635</t>
  </si>
  <si>
    <t>NEO746</t>
  </si>
  <si>
    <t>CGG_2_019636 + CGG_2_023277</t>
  </si>
  <si>
    <t>NEO747</t>
  </si>
  <si>
    <t>CGG_2_019637 + CGG_2_023278</t>
  </si>
  <si>
    <t>NEO748</t>
  </si>
  <si>
    <t>CGG_2_019638</t>
  </si>
  <si>
    <t>NEO749</t>
  </si>
  <si>
    <t>CGG_2_019639</t>
  </si>
  <si>
    <t>NEO751</t>
  </si>
  <si>
    <t>CGG_2_019641</t>
  </si>
  <si>
    <t>Henriksholm-Bøgebakken (Vedbæk)</t>
  </si>
  <si>
    <t>Bjørnsholm</t>
  </si>
  <si>
    <t>U5b1d2</t>
  </si>
  <si>
    <t>NEO759</t>
  </si>
  <si>
    <t>CGG_2_019649</t>
  </si>
  <si>
    <t>Køge Sønakke</t>
  </si>
  <si>
    <t>U5b2a+@16192</t>
  </si>
  <si>
    <t>NEO814</t>
  </si>
  <si>
    <t>CGG_2_020356</t>
  </si>
  <si>
    <t>Bodal K</t>
  </si>
  <si>
    <t>NEO822</t>
  </si>
  <si>
    <t>CGG_2_020573</t>
  </si>
  <si>
    <t>NEO694</t>
  </si>
  <si>
    <t>CGG_2_019378</t>
  </si>
  <si>
    <t>Santa Maria</t>
  </si>
  <si>
    <t>NEO791</t>
  </si>
  <si>
    <t>CGG_2_019693</t>
  </si>
  <si>
    <t>Norsminde</t>
  </si>
  <si>
    <t>Langø Skaldynge</t>
  </si>
  <si>
    <t>Fannerup D</t>
  </si>
  <si>
    <t>Nederst</t>
  </si>
  <si>
    <t>U5b1b1+@16192</t>
  </si>
  <si>
    <t>NEO852</t>
  </si>
  <si>
    <t>CGG_2_020730</t>
  </si>
  <si>
    <t>NEO853</t>
  </si>
  <si>
    <t>CGG_2_020731</t>
  </si>
  <si>
    <t>NEO855</t>
  </si>
  <si>
    <t>CGG_2_021191</t>
  </si>
  <si>
    <t>NEO856</t>
  </si>
  <si>
    <t>CGG_2_021192</t>
  </si>
  <si>
    <t>Fannerup F</t>
  </si>
  <si>
    <t>Tudse Hage</t>
  </si>
  <si>
    <t>Havnø</t>
  </si>
  <si>
    <t>NEO930</t>
  </si>
  <si>
    <t>CGG_2_022292</t>
  </si>
  <si>
    <t>NEO932</t>
  </si>
  <si>
    <t>CGG_2_022294</t>
  </si>
  <si>
    <t>NEO941</t>
  </si>
  <si>
    <t>CGG_2_023263</t>
  </si>
  <si>
    <t>NEO938</t>
  </si>
  <si>
    <t>CGG_2_023260</t>
  </si>
  <si>
    <t>Maróti et al. 2022</t>
  </si>
  <si>
    <r>
      <t xml:space="preserve">Maróti, Z., </t>
    </r>
    <r>
      <rPr>
        <i/>
        <sz val="11"/>
        <color theme="1"/>
        <rFont val="Calibri"/>
        <family val="2"/>
        <scheme val="minor"/>
      </rPr>
      <t>et al.</t>
    </r>
    <r>
      <rPr>
        <sz val="11"/>
        <color theme="1"/>
        <rFont val="Calibri"/>
        <family val="2"/>
        <scheme val="minor"/>
      </rPr>
      <t xml:space="preserve"> The genetic origin of Huns, Avars, and conquering Hungarians. </t>
    </r>
    <r>
      <rPr>
        <i/>
        <sz val="11"/>
        <color theme="1"/>
        <rFont val="Calibri"/>
        <family val="2"/>
        <scheme val="minor"/>
      </rPr>
      <t xml:space="preserve">Current Biology. </t>
    </r>
    <r>
      <rPr>
        <b/>
        <sz val="11"/>
        <color theme="1"/>
        <rFont val="Calibri"/>
        <family val="2"/>
        <scheme val="minor"/>
      </rPr>
      <t>32</t>
    </r>
    <r>
      <rPr>
        <sz val="11"/>
        <color theme="1"/>
        <rFont val="Calibri"/>
        <family val="2"/>
        <scheme val="minor"/>
      </rPr>
      <t>, 2858-2870 (2022),</t>
    </r>
    <r>
      <rPr>
        <b/>
        <sz val="11"/>
        <color theme="1"/>
        <rFont val="Calibri"/>
        <family val="2"/>
        <scheme val="minor"/>
      </rPr>
      <t xml:space="preserve"> </t>
    </r>
    <r>
      <rPr>
        <sz val="11"/>
        <color theme="1"/>
        <rFont val="Calibri"/>
        <family val="2"/>
        <scheme val="minor"/>
      </rPr>
      <t>Data S1.</t>
    </r>
  </si>
  <si>
    <t>H46</t>
  </si>
  <si>
    <t>2043Bolzano</t>
  </si>
  <si>
    <t>ANY-4027</t>
  </si>
  <si>
    <t>Hungary_Starcevo_EN</t>
  </si>
  <si>
    <t>Alsónyék-Bátaszék, Mérnökségi telep</t>
  </si>
  <si>
    <t>Silva et al. 2022</t>
  </si>
  <si>
    <r>
      <t xml:space="preserve">Silva, N. K., et al. Ancient mitochondrial diversity reveals population homogeneity in Neolithic Greece and identifies population dynamics along the Danubian expansion axis. </t>
    </r>
    <r>
      <rPr>
        <i/>
        <sz val="11"/>
        <color theme="1"/>
        <rFont val="Calibri"/>
        <family val="2"/>
        <scheme val="minor"/>
      </rPr>
      <t xml:space="preserve">Sci. Rep. </t>
    </r>
    <r>
      <rPr>
        <b/>
        <sz val="11"/>
        <color theme="1"/>
        <rFont val="Calibri"/>
        <family val="2"/>
        <scheme val="minor"/>
      </rPr>
      <t>12</t>
    </r>
    <r>
      <rPr>
        <sz val="11"/>
        <color theme="1"/>
        <rFont val="Calibri"/>
        <family val="2"/>
        <scheme val="minor"/>
      </rPr>
      <t>: 13474 (2022), Tables S1 and S6.</t>
    </r>
  </si>
  <si>
    <t>Rev4</t>
  </si>
  <si>
    <t>Rev6</t>
  </si>
  <si>
    <t>Mau1</t>
  </si>
  <si>
    <t>Mau2</t>
  </si>
  <si>
    <t>Mau4</t>
  </si>
  <si>
    <t>Mau5</t>
  </si>
  <si>
    <t>Xir1</t>
  </si>
  <si>
    <t>Xir2</t>
  </si>
  <si>
    <t>Nea4</t>
  </si>
  <si>
    <t>Nea1</t>
  </si>
  <si>
    <t>Nea5</t>
  </si>
  <si>
    <t>Xir4a</t>
  </si>
  <si>
    <t>Xir5</t>
  </si>
  <si>
    <t>Mavropigi, Filotsairi</t>
  </si>
  <si>
    <t>Xirolimni</t>
  </si>
  <si>
    <t>H64</t>
  </si>
  <si>
    <t>T1a5</t>
  </si>
  <si>
    <t>K1a24</t>
  </si>
  <si>
    <t>Date from Rev5 (no date for Rev4 in Silva et al. 2022)</t>
  </si>
  <si>
    <t>Date from Rev5 (no date for Rev6 in Silva et al. 2022)</t>
  </si>
  <si>
    <r>
      <t xml:space="preserve">Lat. &amp; long. from Silva et al. 2002 and Y. Maniatis &amp; F.  Adaktylou, </t>
    </r>
    <r>
      <rPr>
        <i/>
        <sz val="8"/>
        <color theme="1"/>
        <rFont val="Calibri"/>
        <family val="2"/>
        <scheme val="minor"/>
      </rPr>
      <t xml:space="preserve">Radiocarbon </t>
    </r>
    <r>
      <rPr>
        <sz val="8"/>
        <color theme="1"/>
        <rFont val="Calibri"/>
        <family val="2"/>
        <scheme val="minor"/>
      </rPr>
      <t>63, 1025 - 1051 (2021).</t>
    </r>
  </si>
  <si>
    <t>Average date of Mau1,4,5 (no date for Mau2 in Silva et al. 2022)</t>
  </si>
  <si>
    <t>Date from Xir2 (no date for Xir1 in Silva et al. 2022)</t>
  </si>
  <si>
    <t>Date from Xir2 (no date for Xir4a in Silva et al. 2022)</t>
  </si>
  <si>
    <t>Date from Xir2 (no date for Xir5 in Silva et al. 2022)</t>
  </si>
  <si>
    <t>Average date of Nea3 &amp; Nea2 (no date for Nea1 in Silva et al. 2022)</t>
  </si>
  <si>
    <t>Average date of Nea3 &amp; Nea2 (no date for Nea4 in Silva et al. 2022)</t>
  </si>
  <si>
    <t>Average date of Nea3 &amp; Nea2 (no date for Nea5 in Silva et al. 2022)</t>
  </si>
  <si>
    <t>S. France</t>
  </si>
  <si>
    <t>NE Spain</t>
  </si>
  <si>
    <t>S Spain</t>
  </si>
  <si>
    <t>I5070</t>
  </si>
  <si>
    <t>Ind. 58</t>
  </si>
  <si>
    <t>Schletz</t>
  </si>
  <si>
    <t>I2533</t>
  </si>
  <si>
    <t>ROM29, Complex grave 3</t>
  </si>
  <si>
    <t>I2532</t>
  </si>
  <si>
    <t>ROM1, P1 square 1 -3, M1, 3.15m; Level 5c</t>
  </si>
  <si>
    <t>Carcea</t>
  </si>
  <si>
    <t>Coțatcu</t>
  </si>
  <si>
    <t>I0633</t>
  </si>
  <si>
    <t>NG11/3, Grave 3; inv. K11</t>
  </si>
  <si>
    <t>Gomolava, Hrtkovci, Vojvodina</t>
  </si>
  <si>
    <t>Govrlevo, Sopi_te, Skopje</t>
  </si>
  <si>
    <t>G2a2b2b1</t>
  </si>
  <si>
    <t>I0676</t>
  </si>
  <si>
    <t>MACE7, KV VIII, SE 513</t>
  </si>
  <si>
    <t>I5068</t>
  </si>
  <si>
    <t>Grave 40</t>
  </si>
  <si>
    <t>Kleinhadersdorf Flur Marchleiten</t>
  </si>
  <si>
    <t>I5069</t>
  </si>
  <si>
    <t>Grave 55</t>
  </si>
  <si>
    <t>I5204</t>
  </si>
  <si>
    <t>Ind. 14/2</t>
  </si>
  <si>
    <t>I5205</t>
  </si>
  <si>
    <t>Ind. 52</t>
  </si>
  <si>
    <t>I5206</t>
  </si>
  <si>
    <t>Ind. 23</t>
  </si>
  <si>
    <t>I5207</t>
  </si>
  <si>
    <t>Ind. 22</t>
  </si>
  <si>
    <t>I5208</t>
  </si>
  <si>
    <t>Ind. 12</t>
  </si>
  <si>
    <t>Mathieson et al. 2019</t>
  </si>
  <si>
    <t>I5427</t>
  </si>
  <si>
    <t>A2055</t>
  </si>
  <si>
    <t>Diros, Alepotrypa Cave</t>
  </si>
  <si>
    <t>Peloponnese_Neolithic</t>
  </si>
  <si>
    <t>Lazaridis et al. 2017</t>
  </si>
  <si>
    <r>
      <t xml:space="preserve">Lazaridis, I., </t>
    </r>
    <r>
      <rPr>
        <i/>
        <sz val="11"/>
        <color theme="1"/>
        <rFont val="Calibri"/>
        <family val="2"/>
        <scheme val="minor"/>
      </rPr>
      <t>et al.</t>
    </r>
    <r>
      <rPr>
        <sz val="11"/>
        <color theme="1"/>
        <rFont val="Calibri"/>
        <family val="2"/>
        <scheme val="minor"/>
      </rPr>
      <t xml:space="preserve">, Genetic origins of the Minoans and Mycenaeans. </t>
    </r>
    <r>
      <rPr>
        <i/>
        <sz val="11"/>
        <color theme="1"/>
        <rFont val="Calibri"/>
        <family val="2"/>
        <scheme val="minor"/>
      </rPr>
      <t xml:space="preserve">Nature </t>
    </r>
    <r>
      <rPr>
        <b/>
        <sz val="11"/>
        <color theme="1"/>
        <rFont val="Calibri"/>
        <family val="2"/>
        <scheme val="minor"/>
      </rPr>
      <t>548</t>
    </r>
    <r>
      <rPr>
        <sz val="11"/>
        <color theme="1"/>
        <rFont val="Calibri"/>
        <family val="2"/>
        <scheme val="minor"/>
      </rPr>
      <t>, 214-218 (2017).</t>
    </r>
  </si>
  <si>
    <t>FreilichSciRep2021</t>
  </si>
  <si>
    <t>Beli Manastir-Popova zemlja, Osijek</t>
  </si>
  <si>
    <t>POP15</t>
  </si>
  <si>
    <t>SU1380 U719</t>
  </si>
  <si>
    <t>Bramanti 2008</t>
  </si>
  <si>
    <r>
      <rPr>
        <sz val="12"/>
        <color theme="1"/>
        <rFont val="Calibri"/>
        <family val="2"/>
        <scheme val="minor"/>
      </rPr>
      <t xml:space="preserve">Bramanti B, Ancient DNA: genetic analysis of aDNA from sixteen skeletons of the Vedrovice. </t>
    </r>
    <r>
      <rPr>
        <i/>
        <sz val="12"/>
        <color theme="1"/>
        <rFont val="Calibri"/>
        <family val="2"/>
        <scheme val="minor"/>
      </rPr>
      <t xml:space="preserve">Anthropologie (Brno) </t>
    </r>
    <r>
      <rPr>
        <b/>
        <sz val="12"/>
        <color theme="1"/>
        <rFont val="Calibri"/>
        <family val="2"/>
        <scheme val="minor"/>
      </rPr>
      <t>46</t>
    </r>
    <r>
      <rPr>
        <i/>
        <sz val="12"/>
        <color theme="1"/>
        <rFont val="Calibri"/>
        <family val="2"/>
        <scheme val="minor"/>
      </rPr>
      <t xml:space="preserve">, </t>
    </r>
    <r>
      <rPr>
        <sz val="12"/>
        <color theme="1"/>
        <rFont val="Calibri"/>
        <family val="2"/>
        <scheme val="minor"/>
      </rPr>
      <t>2-3: 153-160 (2008).</t>
    </r>
  </si>
  <si>
    <t>Vedrovice48/77</t>
  </si>
  <si>
    <t>Vedrovice59/78</t>
  </si>
  <si>
    <t>Vedrovice93a/80</t>
  </si>
  <si>
    <t>Vedrovice23/75</t>
  </si>
  <si>
    <t>Vedrovice15/75</t>
  </si>
  <si>
    <t>Vedrovice272/79</t>
  </si>
  <si>
    <t>Vedrovice22/75</t>
  </si>
  <si>
    <t>Vedrovice91/80</t>
  </si>
  <si>
    <t>F?</t>
  </si>
  <si>
    <t>Schw72-15</t>
  </si>
  <si>
    <t>Average date of Schw72-16 &amp; 432 (no date for Sch72-15 in Brunel et al. 2020)</t>
  </si>
  <si>
    <t>Average date of Schw72-16 &amp; 432 (no date for Sch72-17 in Brunel et al. 2020)</t>
  </si>
  <si>
    <t>Schw72-17</t>
  </si>
  <si>
    <t>ORC1</t>
  </si>
  <si>
    <t>Bréviandes (ZAC st Martin)</t>
  </si>
  <si>
    <t>Larzicourt (le champ Buchotte)</t>
  </si>
  <si>
    <t>Orcontes (les Noues)</t>
  </si>
  <si>
    <t>Date from LARZ4 (no date for ORC1 in Brunet el al. 2020)</t>
  </si>
  <si>
    <t>ROS6</t>
  </si>
  <si>
    <t>ROS25</t>
  </si>
  <si>
    <t>ROS26</t>
  </si>
  <si>
    <t>ROS31</t>
  </si>
  <si>
    <t>ROS36</t>
  </si>
  <si>
    <t>ROS40B</t>
  </si>
  <si>
    <t>ROS42</t>
  </si>
  <si>
    <t>ROS43</t>
  </si>
  <si>
    <t>ROS45</t>
  </si>
  <si>
    <t>ROS47</t>
  </si>
  <si>
    <t>ROS57</t>
  </si>
  <si>
    <t>ROS62</t>
  </si>
  <si>
    <t>ROS66</t>
  </si>
  <si>
    <t>ROS78</t>
  </si>
  <si>
    <t>ROS82</t>
  </si>
  <si>
    <t>ROS85</t>
  </si>
  <si>
    <t>ROS86</t>
  </si>
  <si>
    <t>ROS88</t>
  </si>
  <si>
    <t>ROS91</t>
  </si>
  <si>
    <t>ROS96</t>
  </si>
  <si>
    <t>ROS100</t>
  </si>
  <si>
    <t>ROS102</t>
  </si>
  <si>
    <t>Rosheim "Mittelfeld" "Rosenmeer"</t>
  </si>
  <si>
    <t>T2b3-151</t>
  </si>
  <si>
    <t>H3-152</t>
  </si>
  <si>
    <t>K1b1</t>
  </si>
  <si>
    <t>H5u</t>
  </si>
  <si>
    <t xml:space="preserve">G2a2b2a4a1a2 </t>
  </si>
  <si>
    <t>I2a2b~</t>
  </si>
  <si>
    <t>I2a1a2~</t>
  </si>
  <si>
    <t>ROS111</t>
  </si>
  <si>
    <t>ROS115</t>
  </si>
  <si>
    <t>BUCH4</t>
  </si>
  <si>
    <t>BUCH3</t>
  </si>
  <si>
    <t>EN/ Cardial</t>
  </si>
  <si>
    <t>EN farming</t>
  </si>
  <si>
    <t>Iberia EN</t>
  </si>
  <si>
    <t>EN/ EpiCardial</t>
  </si>
  <si>
    <t>EN, Epicardial</t>
  </si>
  <si>
    <t>EN, Cardial</t>
  </si>
  <si>
    <t>England_N (Neolithic)</t>
  </si>
  <si>
    <t>Wales_N (Neolithic)</t>
  </si>
  <si>
    <t>Scotland_N (Neolithic)</t>
  </si>
  <si>
    <t>Scottish_MN (Middle Neolithic)</t>
  </si>
  <si>
    <t>British EN (Early Neolithic)</t>
  </si>
  <si>
    <t>British EN</t>
  </si>
  <si>
    <t>MN1 (Middle Neolithic 1)</t>
  </si>
  <si>
    <t>MN1</t>
  </si>
  <si>
    <t>MN2</t>
  </si>
  <si>
    <t>BUCH6</t>
  </si>
  <si>
    <t>Buchères (PLA D39)</t>
  </si>
  <si>
    <t>Date from most samples in this site (no date for ROS36 in Brunet el al. 2020)</t>
  </si>
  <si>
    <t>Date from most samples in this site (no date for ROS43 in Brunet el al. 2020)</t>
  </si>
  <si>
    <t>BERG57</t>
  </si>
  <si>
    <t>BERG79</t>
  </si>
  <si>
    <t>BERG34-1</t>
  </si>
  <si>
    <t>BERG02-2</t>
  </si>
  <si>
    <t>BERG02-5</t>
  </si>
  <si>
    <t>BERG157-1</t>
  </si>
  <si>
    <t>BERG157-2</t>
  </si>
  <si>
    <t>BERG157-3</t>
  </si>
  <si>
    <t>BERG157-4</t>
  </si>
  <si>
    <t>BERG157-5</t>
  </si>
  <si>
    <t>BERG157-6</t>
  </si>
  <si>
    <t>BERG157-7</t>
  </si>
  <si>
    <t>BERG157-9</t>
  </si>
  <si>
    <t>BERG103-2</t>
  </si>
  <si>
    <t>BERG746</t>
  </si>
  <si>
    <t>BERG118-1</t>
  </si>
  <si>
    <t>Bergheim (Saulager)</t>
  </si>
  <si>
    <t>MN1 (Neolithique moyen 1)</t>
  </si>
  <si>
    <t xml:space="preserve">MN1 </t>
  </si>
  <si>
    <t>E1b1b1a1</t>
  </si>
  <si>
    <t>E1b1b</t>
  </si>
  <si>
    <t>I2a2b1h~</t>
  </si>
  <si>
    <t>Cugnaux (ZAC Agora)</t>
  </si>
  <si>
    <t>Cx13</t>
  </si>
  <si>
    <t>Cx161</t>
  </si>
  <si>
    <t>Cx165</t>
  </si>
  <si>
    <t>Cx166</t>
  </si>
  <si>
    <t>Cx19</t>
  </si>
  <si>
    <t>Cx20</t>
  </si>
  <si>
    <t>I1a2b4~</t>
  </si>
  <si>
    <t>H1e1a</t>
  </si>
  <si>
    <t>Villeneuve-Tolosane (La Terrasse)</t>
  </si>
  <si>
    <t>HV0-195</t>
  </si>
  <si>
    <t>VT5-7</t>
  </si>
  <si>
    <t>VT7</t>
  </si>
  <si>
    <t>VTP4-3</t>
  </si>
  <si>
    <t>BER49</t>
  </si>
  <si>
    <t>BER36</t>
  </si>
  <si>
    <t>BER37</t>
  </si>
  <si>
    <t>Berriac (Les Plots)</t>
  </si>
  <si>
    <t>CRE3</t>
  </si>
  <si>
    <t>CRE5B</t>
  </si>
  <si>
    <t>CRE5C</t>
  </si>
  <si>
    <t>CRE5D</t>
  </si>
  <si>
    <t>CRE7-A</t>
  </si>
  <si>
    <t>CRE20-A</t>
  </si>
  <si>
    <t>CRE20-B</t>
  </si>
  <si>
    <t>CRE20-D</t>
  </si>
  <si>
    <t>CRE21</t>
  </si>
  <si>
    <t>CRE29</t>
  </si>
  <si>
    <t>CRE30</t>
  </si>
  <si>
    <t>H3c</t>
  </si>
  <si>
    <t>H1a</t>
  </si>
  <si>
    <t>I2a1b1a2b1a2a2b1b1~</t>
  </si>
  <si>
    <t>SP249</t>
  </si>
  <si>
    <t xml:space="preserve">U5b3 </t>
  </si>
  <si>
    <t>Pir1</t>
  </si>
  <si>
    <t>Pir2</t>
  </si>
  <si>
    <t>H2a1</t>
  </si>
  <si>
    <t>BUCH2</t>
  </si>
  <si>
    <t xml:space="preserve">OBN006 </t>
  </si>
  <si>
    <t>Rivollat et al. 2021</t>
  </si>
  <si>
    <t>Obernai</t>
  </si>
  <si>
    <t>MN</t>
  </si>
  <si>
    <t xml:space="preserve">FLR001 </t>
  </si>
  <si>
    <t>U5b2b3a</t>
  </si>
  <si>
    <t>Fleury-sur-Orne</t>
  </si>
  <si>
    <t>Rivollat et al. 2022</t>
  </si>
  <si>
    <t xml:space="preserve">FLR002 </t>
  </si>
  <si>
    <t xml:space="preserve">FLR003 </t>
  </si>
  <si>
    <t xml:space="preserve">FLR004 </t>
  </si>
  <si>
    <t xml:space="preserve">FLR005 </t>
  </si>
  <si>
    <t xml:space="preserve">FLR007 </t>
  </si>
  <si>
    <t xml:space="preserve">FLR010 </t>
  </si>
  <si>
    <t xml:space="preserve">FLR013 </t>
  </si>
  <si>
    <t xml:space="preserve">FLR014 </t>
  </si>
  <si>
    <t>J2a1a1</t>
  </si>
  <si>
    <t>J2b1d</t>
  </si>
  <si>
    <t>Gurgy "les Noisats"</t>
  </si>
  <si>
    <t xml:space="preserve">GRG003 </t>
  </si>
  <si>
    <t xml:space="preserve">GRG008 </t>
  </si>
  <si>
    <t xml:space="preserve">GRG015 </t>
  </si>
  <si>
    <t xml:space="preserve">GRG016 </t>
  </si>
  <si>
    <t xml:space="preserve">GRG018 </t>
  </si>
  <si>
    <t xml:space="preserve">GRG019 </t>
  </si>
  <si>
    <t xml:space="preserve">GRG021 </t>
  </si>
  <si>
    <t xml:space="preserve">GRG022 </t>
  </si>
  <si>
    <t xml:space="preserve">GRG023 </t>
  </si>
  <si>
    <t xml:space="preserve">GRG025 </t>
  </si>
  <si>
    <t xml:space="preserve">GRG027 </t>
  </si>
  <si>
    <t xml:space="preserve">GRG028 </t>
  </si>
  <si>
    <t xml:space="preserve">GRG032 </t>
  </si>
  <si>
    <t xml:space="preserve">GRG035 </t>
  </si>
  <si>
    <t xml:space="preserve">GRG041 </t>
  </si>
  <si>
    <t xml:space="preserve">GRG043 </t>
  </si>
  <si>
    <t xml:space="preserve">GRG047 </t>
  </si>
  <si>
    <t xml:space="preserve">GRG049 </t>
  </si>
  <si>
    <t xml:space="preserve">GRG050 </t>
  </si>
  <si>
    <t xml:space="preserve">GRG052 </t>
  </si>
  <si>
    <t xml:space="preserve">GRG056 </t>
  </si>
  <si>
    <t xml:space="preserve">GRG057 </t>
  </si>
  <si>
    <t>H3+152</t>
  </si>
  <si>
    <t>H1+152</t>
  </si>
  <si>
    <t>H+152</t>
  </si>
  <si>
    <t xml:space="preserve">HBS004 </t>
  </si>
  <si>
    <t xml:space="preserve">HBS005 </t>
  </si>
  <si>
    <t xml:space="preserve">HBS006 </t>
  </si>
  <si>
    <t>HBS004.A0101</t>
  </si>
  <si>
    <t>HBS005.B0101</t>
  </si>
  <si>
    <t>HBS006.B0101</t>
  </si>
  <si>
    <t xml:space="preserve">HBS008 </t>
  </si>
  <si>
    <t xml:space="preserve">HBS009 </t>
  </si>
  <si>
    <t>HBS008.B0101</t>
  </si>
  <si>
    <t>HBS009.B0101</t>
  </si>
  <si>
    <t>Average of other dates at this site in Rivollat et al. 2020 (no date reported for this individual)</t>
  </si>
  <si>
    <t>K1a4a1e</t>
  </si>
  <si>
    <t>H27+16093</t>
  </si>
  <si>
    <t xml:space="preserve">OBN001 </t>
  </si>
  <si>
    <t xml:space="preserve">OBN002 </t>
  </si>
  <si>
    <t xml:space="preserve">OBN003 </t>
  </si>
  <si>
    <t xml:space="preserve">OBN004 </t>
  </si>
  <si>
    <t xml:space="preserve">OBN005 </t>
  </si>
  <si>
    <t xml:space="preserve">OBN007 </t>
  </si>
  <si>
    <t xml:space="preserve">OBN008 </t>
  </si>
  <si>
    <t xml:space="preserve">OBN009 </t>
  </si>
  <si>
    <t xml:space="preserve">OBN010 </t>
  </si>
  <si>
    <t xml:space="preserve">OBN011 </t>
  </si>
  <si>
    <t>T2b4</t>
  </si>
  <si>
    <t>H45</t>
  </si>
  <si>
    <t>H2a2?</t>
  </si>
  <si>
    <t>Prissé-la-Charrière</t>
  </si>
  <si>
    <t>F ?</t>
  </si>
  <si>
    <t xml:space="preserve">PRI001 </t>
  </si>
  <si>
    <t xml:space="preserve">PRI005 </t>
  </si>
  <si>
    <t xml:space="preserve">PRI006 </t>
  </si>
  <si>
    <t>PRI001.merged</t>
  </si>
  <si>
    <t>PRI005.A0101</t>
  </si>
  <si>
    <t>PRI006.A0101</t>
  </si>
  <si>
    <t>I2a1a2a</t>
  </si>
  <si>
    <t>Date from PRI001 (no date reported for PRI005)</t>
  </si>
  <si>
    <t>Date from PRI001 (no date reported for PRI006)</t>
  </si>
  <si>
    <t xml:space="preserve">SCH001 </t>
  </si>
  <si>
    <t xml:space="preserve">SCH004 </t>
  </si>
  <si>
    <t xml:space="preserve">SCH007 </t>
  </si>
  <si>
    <t xml:space="preserve">SCH009 </t>
  </si>
  <si>
    <t xml:space="preserve">SCH010 </t>
  </si>
  <si>
    <t xml:space="preserve">SCH011 </t>
  </si>
  <si>
    <t xml:space="preserve">SCH014 </t>
  </si>
  <si>
    <t xml:space="preserve">SCH015 </t>
  </si>
  <si>
    <t>SCH001.A0101</t>
  </si>
  <si>
    <t>SCH004.A0101</t>
  </si>
  <si>
    <t>SCH007.A0101</t>
  </si>
  <si>
    <t>SCH009.A0101</t>
  </si>
  <si>
    <t>SCH010.A0101</t>
  </si>
  <si>
    <t>SCH011.A0101</t>
  </si>
  <si>
    <t>SCH014.A0101</t>
  </si>
  <si>
    <t>SCH015.A0101</t>
  </si>
  <si>
    <t>Average of SCH016 &amp; SCH018 (no date reported for this individual)</t>
  </si>
  <si>
    <t>LBK_SCH</t>
  </si>
  <si>
    <t>LBK_SMH</t>
  </si>
  <si>
    <t>Anatolia_N (Neolithic)</t>
  </si>
  <si>
    <t>Anatolia_NC</t>
  </si>
  <si>
    <t>Anatolia_N</t>
  </si>
  <si>
    <t>XN178</t>
  </si>
  <si>
    <t>XN205</t>
  </si>
  <si>
    <t>XN207</t>
  </si>
  <si>
    <t>XN225</t>
  </si>
  <si>
    <t>average date of other individuals in this site (no date repported for this individual)</t>
  </si>
  <si>
    <t>XN166</t>
  </si>
  <si>
    <t>Rorlach et al. 2021</t>
  </si>
  <si>
    <t>Rohrlach 2021;  Yu et al. 2022</t>
  </si>
  <si>
    <t>GRG081</t>
  </si>
  <si>
    <t>GRG091</t>
  </si>
  <si>
    <t>GRG094</t>
  </si>
  <si>
    <t>GRG109</t>
  </si>
  <si>
    <t>U1a1a</t>
  </si>
  <si>
    <r>
      <rPr>
        <sz val="12"/>
        <color theme="1"/>
        <rFont val="Calibri"/>
        <family val="2"/>
        <scheme val="minor"/>
      </rPr>
      <t>Furtwängler, A., Rohrlach, A.B., Lamnidis, T.C.</t>
    </r>
    <r>
      <rPr>
        <i/>
        <sz val="12"/>
        <color theme="1"/>
        <rFont val="Calibri"/>
        <family val="2"/>
        <scheme val="minor"/>
      </rPr>
      <t xml:space="preserve"> et al. </t>
    </r>
    <r>
      <rPr>
        <sz val="12"/>
        <color theme="1"/>
        <rFont val="Calibri"/>
        <family val="2"/>
        <scheme val="minor"/>
      </rPr>
      <t xml:space="preserve">Ancient genomes reveal social and genetic structure of Late Neolithic Switzerland. </t>
    </r>
    <r>
      <rPr>
        <i/>
        <sz val="12"/>
        <color theme="1"/>
        <rFont val="Calibri"/>
        <family val="2"/>
        <scheme val="minor"/>
      </rPr>
      <t xml:space="preserve">Nat Commun </t>
    </r>
    <r>
      <rPr>
        <b/>
        <sz val="12"/>
        <color theme="1"/>
        <rFont val="Calibri"/>
        <family val="2"/>
        <scheme val="minor"/>
      </rPr>
      <t>11</t>
    </r>
    <r>
      <rPr>
        <i/>
        <sz val="12"/>
        <color theme="1"/>
        <rFont val="Calibri"/>
        <family val="2"/>
        <scheme val="minor"/>
      </rPr>
      <t xml:space="preserve">, 1915 </t>
    </r>
    <r>
      <rPr>
        <sz val="12"/>
        <color theme="1"/>
        <rFont val="Calibri"/>
        <family val="2"/>
        <scheme val="minor"/>
      </rPr>
      <t>(2020).</t>
    </r>
  </si>
  <si>
    <t>Furtwängler et al. 2020</t>
  </si>
  <si>
    <t>Dates from https://indo-european.eu/ancient-dna/ (accessed 10 August 2022).</t>
  </si>
  <si>
    <t>Furtwängler et al. 2021</t>
  </si>
  <si>
    <t>Furtwängler et al. 2022</t>
  </si>
  <si>
    <t>TU916 (SX30)</t>
  </si>
  <si>
    <t>Lingolsheim</t>
  </si>
  <si>
    <t>TU919 (SX33)</t>
  </si>
  <si>
    <t>TU915 (SX29)</t>
  </si>
  <si>
    <t>Niederried Ursisbalm</t>
  </si>
  <si>
    <t>TU877(SX11)</t>
  </si>
  <si>
    <t>I4303</t>
  </si>
  <si>
    <t>I4304</t>
  </si>
  <si>
    <t>ST2009</t>
  </si>
  <si>
    <t>ST2224</t>
  </si>
  <si>
    <t>Clos de Roque, Saint Maximin-la-Sainte-Baume</t>
  </si>
  <si>
    <t>France_MLN</t>
  </si>
  <si>
    <t>Rivollat et al. 2016</t>
  </si>
  <si>
    <r>
      <t xml:space="preserve">Rivollat, M., Réveillas, H., Mendisco, F., Pemonge, M. H., Justeau, P., Couture, C., ... &amp; Deguilloux, M. F. (2016). Ancient mitochondrial DNA from the middle neolithic necropolis of Obernai extends the genetic influence of the LBK to west of the Rhine. </t>
    </r>
    <r>
      <rPr>
        <i/>
        <sz val="12"/>
        <color theme="1"/>
        <rFont val="Calibri"/>
        <family val="2"/>
        <scheme val="minor"/>
      </rPr>
      <t>American journal of physical anthropology</t>
    </r>
    <r>
      <rPr>
        <sz val="12"/>
        <color theme="1"/>
        <rFont val="Calibri"/>
        <family val="2"/>
        <scheme val="minor"/>
      </rPr>
      <t xml:space="preserve">, </t>
    </r>
    <r>
      <rPr>
        <b/>
        <sz val="12"/>
        <color theme="1"/>
        <rFont val="Calibri"/>
        <family val="2"/>
        <scheme val="minor"/>
      </rPr>
      <t>161</t>
    </r>
    <r>
      <rPr>
        <sz val="12"/>
        <color theme="1"/>
        <rFont val="Calibri"/>
        <family val="2"/>
        <scheme val="minor"/>
      </rPr>
      <t>(3), 522-529</t>
    </r>
  </si>
  <si>
    <t>OB 4010</t>
  </si>
  <si>
    <t>OB 1321</t>
  </si>
  <si>
    <t>I5366</t>
  </si>
  <si>
    <t>Cissbury Flint Mine, Worthing, West Sussex</t>
  </si>
  <si>
    <t>I6759</t>
  </si>
  <si>
    <t>Lesser Kelco Cave, Giggleswick Scar, North Yorkshire</t>
  </si>
  <si>
    <t>I6761</t>
  </si>
  <si>
    <t>Skull 4 (R3688/130)</t>
  </si>
  <si>
    <t>Whitehawk, Brighton, Sussex</t>
  </si>
  <si>
    <t>Prague 8, Kobylisy, Ke Stírce Street</t>
  </si>
  <si>
    <t>Czech_MN</t>
  </si>
  <si>
    <t>I4893</t>
  </si>
  <si>
    <t>feature 552 / Grave 17</t>
  </si>
  <si>
    <t>I4894</t>
  </si>
  <si>
    <t>feature 552 / Grave 18</t>
  </si>
  <si>
    <t>I4305</t>
  </si>
  <si>
    <t>ST2215</t>
  </si>
  <si>
    <t>OB 4008-1</t>
  </si>
  <si>
    <t>OB 4008 in Rivollat et al. 2016</t>
  </si>
  <si>
    <t>OB 4017-1</t>
  </si>
  <si>
    <t>OB 4022-1</t>
  </si>
  <si>
    <t>OB 4022 in Rivollat et al. 2016</t>
  </si>
  <si>
    <t>Average of other dates at this site (no date reported for this individual). OB 4017 in Rivollat et al. 2016</t>
  </si>
  <si>
    <t>OB 4088-1</t>
  </si>
  <si>
    <t>OB 4088  in Rivollat et al. 2016</t>
  </si>
  <si>
    <t>OB 4090-1</t>
  </si>
  <si>
    <t>OB 4090 in Rivollat et al. 2016</t>
  </si>
  <si>
    <t>OB 4730-1</t>
  </si>
  <si>
    <t>OB 4730 in Rivollat et al. 2016</t>
  </si>
  <si>
    <t>OB 4001-1</t>
  </si>
  <si>
    <t>OB 4001 in Rivollat et al. 2016</t>
  </si>
  <si>
    <t>OB 4015-1</t>
  </si>
  <si>
    <t>OB 4015 in Rivollat et al. 2016</t>
  </si>
  <si>
    <t>OB 4035-1</t>
  </si>
  <si>
    <t>OB 4035 in Rivollat et al. 2016</t>
  </si>
  <si>
    <t>OB 4106-1</t>
  </si>
  <si>
    <t>Average of other dates at this site (no date reported for this individual). OB 4106 in Rivollat et al. 2016</t>
  </si>
  <si>
    <t>OB 4664-1</t>
  </si>
  <si>
    <t>OB 4664 in Rivollat et al. 2016</t>
  </si>
  <si>
    <t>OB 4018</t>
  </si>
  <si>
    <t>OB 4028</t>
  </si>
  <si>
    <t>OB 4089</t>
  </si>
  <si>
    <t>OB 4698</t>
  </si>
  <si>
    <t>OB 4719</t>
  </si>
  <si>
    <t>OB 4756</t>
  </si>
  <si>
    <t>OB 4016</t>
  </si>
  <si>
    <r>
      <rPr>
        <sz val="12"/>
        <color theme="1"/>
        <rFont val="Calibri"/>
        <family val="2"/>
        <scheme val="minor"/>
      </rPr>
      <t xml:space="preserve">Rivollat, M., Mendisco, F., Pemonge, M. H., Safi, A., Saint-Marc, D., Brémond, A., ... &amp; Deguilloux, M. F. (2015). When the waves of European neolithization met: first paleogenetic evidence from early farmers in the Southern Paris Basin. </t>
    </r>
    <r>
      <rPr>
        <i/>
        <sz val="12"/>
        <color theme="1"/>
        <rFont val="Calibri"/>
        <family val="2"/>
        <scheme val="minor"/>
      </rPr>
      <t>PLoS ONE</t>
    </r>
    <r>
      <rPr>
        <b/>
        <i/>
        <sz val="12"/>
        <color theme="1"/>
        <rFont val="Calibri"/>
        <family val="2"/>
        <scheme val="minor"/>
      </rPr>
      <t xml:space="preserve"> </t>
    </r>
    <r>
      <rPr>
        <b/>
        <sz val="12"/>
        <color theme="1"/>
        <rFont val="Calibri"/>
        <family val="2"/>
        <scheme val="minor"/>
      </rPr>
      <t>10</t>
    </r>
    <r>
      <rPr>
        <sz val="12"/>
        <color theme="1"/>
        <rFont val="Calibri"/>
        <family val="2"/>
        <scheme val="minor"/>
      </rPr>
      <t>(4), e0125521.</t>
    </r>
  </si>
  <si>
    <r>
      <t xml:space="preserve">Omrak, A. </t>
    </r>
    <r>
      <rPr>
        <i/>
        <sz val="11"/>
        <color theme="1"/>
        <rFont val="Calibri"/>
        <family val="2"/>
        <scheme val="minor"/>
      </rPr>
      <t>et al.</t>
    </r>
    <r>
      <rPr>
        <sz val="11"/>
        <color theme="1"/>
        <rFont val="Calibri"/>
        <family val="2"/>
        <scheme val="minor"/>
      </rPr>
      <t xml:space="preserve"> Genomic evidence establishes Anatolia as the source of the European Neolithic gene pool. </t>
    </r>
    <r>
      <rPr>
        <i/>
        <sz val="11"/>
        <color theme="1"/>
        <rFont val="Calibri"/>
        <family val="2"/>
        <scheme val="minor"/>
      </rPr>
      <t>Current Biolog</t>
    </r>
    <r>
      <rPr>
        <sz val="11"/>
        <color theme="1"/>
        <rFont val="Calibri"/>
        <family val="2"/>
        <scheme val="minor"/>
      </rPr>
      <t xml:space="preserve"> </t>
    </r>
    <r>
      <rPr>
        <b/>
        <sz val="11"/>
        <color theme="1"/>
        <rFont val="Calibri"/>
        <family val="2"/>
        <scheme val="minor"/>
      </rPr>
      <t>26</t>
    </r>
    <r>
      <rPr>
        <sz val="11"/>
        <color theme="1"/>
        <rFont val="Calibri"/>
        <family val="2"/>
        <scheme val="minor"/>
      </rPr>
      <t>, 270–275 (2016).  Dates and haplogroups appear in Supp. Info.</t>
    </r>
  </si>
  <si>
    <r>
      <t xml:space="preserve">Olalde, I. </t>
    </r>
    <r>
      <rPr>
        <i/>
        <sz val="11"/>
        <color theme="1"/>
        <rFont val="Calibri"/>
        <family val="2"/>
        <scheme val="minor"/>
      </rPr>
      <t>et al.</t>
    </r>
    <r>
      <rPr>
        <sz val="11"/>
        <color theme="1"/>
        <rFont val="Calibri"/>
        <family val="2"/>
        <scheme val="minor"/>
      </rPr>
      <t xml:space="preserve"> The Beaker phenomenon and the genomic transformation of northwest Europe. </t>
    </r>
    <r>
      <rPr>
        <i/>
        <sz val="11"/>
        <color theme="1"/>
        <rFont val="Calibri"/>
        <family val="2"/>
        <scheme val="minor"/>
      </rPr>
      <t>Natur</t>
    </r>
    <r>
      <rPr>
        <sz val="11"/>
        <color theme="1"/>
        <rFont val="Calibri"/>
        <family val="2"/>
        <scheme val="minor"/>
      </rPr>
      <t xml:space="preserve"> </t>
    </r>
    <r>
      <rPr>
        <b/>
        <sz val="11"/>
        <color theme="1"/>
        <rFont val="Calibri"/>
        <family val="2"/>
        <scheme val="minor"/>
      </rPr>
      <t>555</t>
    </r>
    <r>
      <rPr>
        <sz val="11"/>
        <color theme="1"/>
        <rFont val="Calibri"/>
        <family val="2"/>
        <scheme val="minor"/>
      </rPr>
      <t>, 190–196 (2018).  Dates and haplogroups appear in Supp. Info. Supplementary Table 1. Only the oldest individuals have been included, as representatives of the Early Neolithic.</t>
    </r>
  </si>
  <si>
    <t>Rivollat et al. 2015</t>
  </si>
  <si>
    <t>GLN 204</t>
  </si>
  <si>
    <t>GLN 210</t>
  </si>
  <si>
    <t>GLN 215B</t>
  </si>
  <si>
    <t>GLN 220</t>
  </si>
  <si>
    <t>GLN 223</t>
  </si>
  <si>
    <t>GLN 225</t>
  </si>
  <si>
    <t>GLN 227</t>
  </si>
  <si>
    <t>GLN 229</t>
  </si>
  <si>
    <t>GLN 231A</t>
  </si>
  <si>
    <t>GLN 232C</t>
  </si>
  <si>
    <t>GLN 243A</t>
  </si>
  <si>
    <t>GLN 243B</t>
  </si>
  <si>
    <t>GLN 248</t>
  </si>
  <si>
    <t>GLN 256</t>
  </si>
  <si>
    <t>GLN 276</t>
  </si>
  <si>
    <t>GLN 280</t>
  </si>
  <si>
    <t>GLN 287</t>
  </si>
  <si>
    <t>GLN 289B</t>
  </si>
  <si>
    <t>GLN 294</t>
  </si>
  <si>
    <t>GLN 299</t>
  </si>
  <si>
    <t>GLN 313</t>
  </si>
  <si>
    <t>GLN 317</t>
  </si>
  <si>
    <t>GLN 201</t>
  </si>
  <si>
    <t>GLN 202</t>
  </si>
  <si>
    <t>GLN 212</t>
  </si>
  <si>
    <t>GLN 214</t>
  </si>
  <si>
    <t>GLN 231B</t>
  </si>
  <si>
    <t>GLN 232B</t>
  </si>
  <si>
    <t>GLN 236B</t>
  </si>
  <si>
    <t>GLN 241</t>
  </si>
  <si>
    <t>GLN 242</t>
  </si>
  <si>
    <t>GLN 244</t>
  </si>
  <si>
    <t>GLN 245A</t>
  </si>
  <si>
    <t>GLN 245B</t>
  </si>
  <si>
    <t>GLN 246</t>
  </si>
  <si>
    <t>GLN 249</t>
  </si>
  <si>
    <t>GLN 251</t>
  </si>
  <si>
    <t>GLN 254</t>
  </si>
  <si>
    <t>GLN 255</t>
  </si>
  <si>
    <t>GLN 258</t>
  </si>
  <si>
    <t>GLN 260</t>
  </si>
  <si>
    <t>GLN 264</t>
  </si>
  <si>
    <t>GLN 270A</t>
  </si>
  <si>
    <t>GLN 277</t>
  </si>
  <si>
    <t>GLN 282</t>
  </si>
  <si>
    <t>GLN 285A</t>
  </si>
  <si>
    <t>GLN 285B</t>
  </si>
  <si>
    <t>GLN 286</t>
  </si>
  <si>
    <t>GLN 292</t>
  </si>
  <si>
    <t>GLN 305</t>
  </si>
  <si>
    <t>GLN 311</t>
  </si>
  <si>
    <t>GLN 312</t>
  </si>
  <si>
    <t>GLN 315</t>
  </si>
  <si>
    <t>GLN 322</t>
  </si>
  <si>
    <t>GLN 269</t>
  </si>
  <si>
    <t>Average of other dates at this site in Rivollat et al. 2016, 2020 (no date reported for this individual).</t>
  </si>
  <si>
    <t>Some individuals in Rivollat et al. 2015 do not appear here but in Rivollat et al. 2020 below (with more details)</t>
  </si>
  <si>
    <t>Arqueol. context</t>
  </si>
  <si>
    <r>
      <rPr>
        <sz val="12"/>
        <color theme="1"/>
        <rFont val="Calibri"/>
        <family val="2"/>
        <scheme val="minor"/>
      </rPr>
      <t>Goude, G., Salazar-García, D.C., Power, R.C. et al. A Multidisciplinary Approach to Neolithic Life Reconstruction.</t>
    </r>
    <r>
      <rPr>
        <i/>
        <sz val="12"/>
        <color theme="1"/>
        <rFont val="Calibri"/>
        <family val="2"/>
        <scheme val="minor"/>
      </rPr>
      <t xml:space="preserve"> J Archaeol Method Theory </t>
    </r>
    <r>
      <rPr>
        <b/>
        <sz val="12"/>
        <color theme="1"/>
        <rFont val="Calibri"/>
        <family val="2"/>
        <scheme val="minor"/>
      </rPr>
      <t>26</t>
    </r>
    <r>
      <rPr>
        <sz val="12"/>
        <color theme="1"/>
        <rFont val="Calibri"/>
        <family val="2"/>
        <scheme val="minor"/>
      </rPr>
      <t>, 537–560 (2019), table 1 in the main paper.</t>
    </r>
  </si>
  <si>
    <t>Goude et al. 2019</t>
  </si>
  <si>
    <t>Vigneau 85</t>
  </si>
  <si>
    <t>Vigneau 35</t>
  </si>
  <si>
    <t>LVH12</t>
  </si>
  <si>
    <t>LVH3</t>
  </si>
  <si>
    <t>Lat., long, dates and other ID from https://indo-european.eu/ancient-dna/ (accessed 10 August 2022).</t>
  </si>
  <si>
    <t>Vigneau</t>
  </si>
  <si>
    <t>Klein7</t>
  </si>
  <si>
    <r>
      <rPr>
        <sz val="12"/>
        <color theme="1"/>
        <rFont val="Calibri"/>
        <family val="2"/>
        <scheme val="minor"/>
      </rPr>
      <t>Lazaridis, I., Patterson, N., Mittnik, A. et al. Ancient human genomes suggest three ancestral populations for present-day Europeans.</t>
    </r>
    <r>
      <rPr>
        <i/>
        <sz val="12"/>
        <color theme="1"/>
        <rFont val="Calibri"/>
        <family val="2"/>
        <scheme val="minor"/>
      </rPr>
      <t xml:space="preserve"> Nature </t>
    </r>
    <r>
      <rPr>
        <b/>
        <sz val="12"/>
        <color theme="1"/>
        <rFont val="Calibri"/>
        <family val="2"/>
        <scheme val="minor"/>
      </rPr>
      <t>513,</t>
    </r>
    <r>
      <rPr>
        <i/>
        <sz val="12"/>
        <color theme="1"/>
        <rFont val="Calibri"/>
        <family val="2"/>
        <scheme val="minor"/>
      </rPr>
      <t xml:space="preserve"> </t>
    </r>
    <r>
      <rPr>
        <sz val="12"/>
        <color theme="1"/>
        <rFont val="Calibri"/>
        <family val="2"/>
        <scheme val="minor"/>
      </rPr>
      <t>409–413 (2014), table S4.1.</t>
    </r>
  </si>
  <si>
    <t>Stuttgart</t>
  </si>
  <si>
    <t>I0018</t>
  </si>
  <si>
    <t xml:space="preserve">Lipson et al. 2017 </t>
  </si>
  <si>
    <t>Brand et al. 2013, Haak et al. 2015</t>
  </si>
  <si>
    <t>Reference (see sheet 'References of Data S1')</t>
  </si>
  <si>
    <t>Krause-Kyora, Elife 2018</t>
  </si>
  <si>
    <r>
      <rPr>
        <sz val="12"/>
        <color theme="1"/>
        <rFont val="Calibri"/>
        <family val="2"/>
        <scheme val="minor"/>
      </rPr>
      <t xml:space="preserve">Krause-Kyora, B., Susat, J., Key, F. M., Kühnert, D., Bosse, E., ... &amp; Krause, J. (2018). Neolithic and medieval virus genomes reveal complex evolution of hepatitis B. </t>
    </r>
    <r>
      <rPr>
        <i/>
        <sz val="12"/>
        <color theme="1"/>
        <rFont val="Calibri"/>
        <family val="2"/>
        <scheme val="minor"/>
      </rPr>
      <t xml:space="preserve">Elife </t>
    </r>
    <r>
      <rPr>
        <b/>
        <sz val="12"/>
        <color theme="1"/>
        <rFont val="Calibri"/>
        <family val="2"/>
        <scheme val="minor"/>
      </rPr>
      <t>7</t>
    </r>
    <r>
      <rPr>
        <i/>
        <sz val="12"/>
        <color theme="1"/>
        <rFont val="Calibri"/>
        <family val="2"/>
        <scheme val="minor"/>
      </rPr>
      <t xml:space="preserve">, </t>
    </r>
    <r>
      <rPr>
        <sz val="12"/>
        <color theme="1"/>
        <rFont val="Calibri"/>
        <family val="2"/>
        <scheme val="minor"/>
      </rPr>
      <t>e36666.</t>
    </r>
  </si>
  <si>
    <t>Kar537</t>
  </si>
  <si>
    <t>Data from https://indo-european.eu/ancient-dna/ (accessed 10 August 2022).</t>
  </si>
  <si>
    <t>Kars537</t>
  </si>
  <si>
    <t xml:space="preserve">Brandt et al. 2013, Haak et al. 2015 </t>
  </si>
  <si>
    <t>DEB 9</t>
  </si>
  <si>
    <t>DEB 10</t>
  </si>
  <si>
    <t>DEB 5</t>
  </si>
  <si>
    <t>DEB 4</t>
  </si>
  <si>
    <t>DEB 3</t>
  </si>
  <si>
    <t>DEB 2</t>
  </si>
  <si>
    <t>DEB 1</t>
  </si>
  <si>
    <t>DEB 21</t>
  </si>
  <si>
    <t>DEB 32</t>
  </si>
  <si>
    <t>DEB 29ll</t>
  </si>
  <si>
    <t>DEB 11</t>
  </si>
  <si>
    <t>DEB 20</t>
  </si>
  <si>
    <t>DEB 39</t>
  </si>
  <si>
    <t>DEB 38</t>
  </si>
  <si>
    <t>DEB 37l</t>
  </si>
  <si>
    <t>DEB 36</t>
  </si>
  <si>
    <t>DEB 35ll</t>
  </si>
  <si>
    <t>DEB 34ll</t>
  </si>
  <si>
    <t>DEB 33</t>
  </si>
  <si>
    <t>DEB 30</t>
  </si>
  <si>
    <t>DEB 26</t>
  </si>
  <si>
    <t>DEB 23</t>
  </si>
  <si>
    <t>DEB 15</t>
  </si>
  <si>
    <t>DEB 12l</t>
  </si>
  <si>
    <t>DEB 22</t>
  </si>
  <si>
    <t xml:space="preserve">  </t>
  </si>
  <si>
    <t>UWS 5</t>
  </si>
  <si>
    <t>HAL 2</t>
  </si>
  <si>
    <t>UWS2</t>
  </si>
  <si>
    <t>KAR20</t>
  </si>
  <si>
    <t>KAR29</t>
  </si>
  <si>
    <t>KAR59</t>
  </si>
  <si>
    <t>KAR18</t>
  </si>
  <si>
    <t>KAR17</t>
  </si>
  <si>
    <t>KAR1</t>
  </si>
  <si>
    <t>KAR57</t>
  </si>
  <si>
    <t>KAR14</t>
  </si>
  <si>
    <t>KAR3</t>
  </si>
  <si>
    <t>KAR10</t>
  </si>
  <si>
    <t>KAR54</t>
  </si>
  <si>
    <t>KAR7</t>
  </si>
  <si>
    <t>KAR8</t>
  </si>
  <si>
    <t>KAR55</t>
  </si>
  <si>
    <t>KAR40</t>
  </si>
  <si>
    <t>KAR15</t>
  </si>
  <si>
    <t>KAR13</t>
  </si>
  <si>
    <t>KAR9</t>
  </si>
  <si>
    <t>KAR4</t>
  </si>
  <si>
    <t>KAR19</t>
  </si>
  <si>
    <t>NAU5</t>
  </si>
  <si>
    <t>NAU1</t>
  </si>
  <si>
    <t>NAU3</t>
  </si>
  <si>
    <t>NAU2</t>
  </si>
  <si>
    <t>UWS11</t>
  </si>
  <si>
    <t>UWS4</t>
  </si>
  <si>
    <t>UWS8B</t>
  </si>
  <si>
    <t>UWS6</t>
  </si>
  <si>
    <t>UWS7</t>
  </si>
  <si>
    <t>UWS3</t>
  </si>
  <si>
    <t>Haak et al. 2005, Bramanti et al. 2009</t>
  </si>
  <si>
    <t>Eilsleben</t>
  </si>
  <si>
    <t>H*</t>
  </si>
  <si>
    <t>EIL1</t>
  </si>
  <si>
    <t>EIL 1</t>
  </si>
  <si>
    <t>Lat., long. &amp; dates from https://indo-european.eu/ancient-dna/ (accessed 10 August 2022).</t>
  </si>
  <si>
    <t>Flomborn</t>
  </si>
  <si>
    <t>FLO1</t>
  </si>
  <si>
    <t>FLO 1</t>
  </si>
  <si>
    <t>FLO2</t>
  </si>
  <si>
    <t>FLO4</t>
  </si>
  <si>
    <t>FLO5</t>
  </si>
  <si>
    <t>FLO6</t>
  </si>
  <si>
    <t>FLO 2</t>
  </si>
  <si>
    <t>FLO 4</t>
  </si>
  <si>
    <t>FLO 5</t>
  </si>
  <si>
    <t>FLO 6</t>
  </si>
  <si>
    <t>SCHWE1</t>
  </si>
  <si>
    <t>SCHWE2</t>
  </si>
  <si>
    <t>SCHWE4</t>
  </si>
  <si>
    <t>SCHWE5</t>
  </si>
  <si>
    <t>dates from https://indo-european.eu/ancient-dna/ (accessed 10 August 2022).</t>
  </si>
  <si>
    <t>Seehausen</t>
  </si>
  <si>
    <t>SEE1</t>
  </si>
  <si>
    <t>Haak et al. 2006, Bramanti et al. 2009</t>
  </si>
  <si>
    <t>Unseburg</t>
  </si>
  <si>
    <t>UNS2</t>
  </si>
  <si>
    <t>Vaihingen an der Enz</t>
  </si>
  <si>
    <t>VAI3</t>
  </si>
  <si>
    <t>Ecsegfalva</t>
  </si>
  <si>
    <t>ECS1</t>
  </si>
  <si>
    <t>Haak 2006</t>
  </si>
  <si>
    <t>Haak, W. Ph. D. thesis. Mainz University (2006).</t>
  </si>
  <si>
    <t>HAL13</t>
  </si>
  <si>
    <t>Rössen_EN</t>
  </si>
  <si>
    <t>I0166</t>
  </si>
  <si>
    <t>Viesenhäuser Hof, Stuttgart-Mühlhausen</t>
  </si>
  <si>
    <t>I0025</t>
  </si>
  <si>
    <t>I0027</t>
  </si>
  <si>
    <t>I0026</t>
  </si>
  <si>
    <t>I0023</t>
  </si>
  <si>
    <t>I0019</t>
  </si>
  <si>
    <t>I0021</t>
  </si>
  <si>
    <t>I0022</t>
  </si>
  <si>
    <t>I0024</t>
  </si>
  <si>
    <t>I0020</t>
  </si>
  <si>
    <t>LBK1992</t>
  </si>
  <si>
    <t>LBK2172</t>
  </si>
  <si>
    <t>LBK2155</t>
  </si>
  <si>
    <t>LBK1979</t>
  </si>
  <si>
    <t>LBK1254</t>
  </si>
  <si>
    <t>LBK1581</t>
  </si>
  <si>
    <t>LBK1976</t>
  </si>
  <si>
    <t>LBK1988</t>
  </si>
  <si>
    <t>LBK1577</t>
  </si>
  <si>
    <t>HV6'17</t>
  </si>
  <si>
    <t>KAR11B in Haak et al. 2015. Dates from https://indo-european.eu/ancient-dna/ (accessed 10 August 2022).</t>
  </si>
  <si>
    <t>deb06</t>
  </si>
  <si>
    <t>DEB 6</t>
  </si>
  <si>
    <t>F??</t>
  </si>
  <si>
    <t>M??</t>
  </si>
  <si>
    <t>DEB5. Dates from Brandt et al. 2013.</t>
  </si>
  <si>
    <t>DEB1. Dates from Brandt et al. 2013.</t>
  </si>
  <si>
    <t>Dates from Brandt et al. 2013.</t>
  </si>
  <si>
    <t>Dates from Haak et al. 2015.</t>
  </si>
  <si>
    <t>DEB2. Dates from https://indo-european.eu/ancient-dna/ (accessed 10 August 2022).</t>
  </si>
  <si>
    <t>DEB3. Dates from Brandt et al. 2013 (Haak et al. 2010: 5186-5048, average 5117 cal BCE).</t>
  </si>
  <si>
    <t>DEB4. Dates from Brandt et al. 2013 (Haak et al. 2010: 5185-5039, average 5112 cal BCE).</t>
  </si>
  <si>
    <t>Dates from Brandt et al. 2013 (Haak et al. 2010: 5187-5057, average 5122 cal BCE).</t>
  </si>
  <si>
    <t>Dates from Brandt et al. 2013 (Haak et al. 2010: 5185-5039, average 5112 cal BCE).</t>
  </si>
  <si>
    <t>Dates from Brandt et al. 2013 (Haak et al. 2010: 5020-4944, average 4982 cal BCE). No haplogroup in Brand et al. 2013.</t>
  </si>
  <si>
    <t>Dates from Brandt et al. 2013 (Haak et al. 2010: 5186-5048, average 5117 cal BCE).</t>
  </si>
  <si>
    <t>Dates from Brandt et al. 2013 (Haak et al. 2010: 5292-5202, average 5247 cal BCE).</t>
  </si>
  <si>
    <t>Dates from Brand et al. 2013 (Haak et al. 2010: 4960-4860, average 4910 cal BCE).</t>
  </si>
  <si>
    <t>Dates from Brand et al. 2013.</t>
  </si>
  <si>
    <t>U5a1a'g</t>
  </si>
  <si>
    <t>HAL2. Dates from Brandt et al. 2013.</t>
  </si>
  <si>
    <t xml:space="preserve">HAL 13. </t>
  </si>
  <si>
    <t>HAL 5. Dates from Haak et al. 2015.</t>
  </si>
  <si>
    <t>HAL 25. Dates from Haak et al. 2015.</t>
  </si>
  <si>
    <t>HAL 4. Dates from Brandt et al. 2013 and Haak et al. 2015.</t>
  </si>
  <si>
    <t>Brandt et al. 2013: HAL 20, haplogroup K1a, no dates.</t>
  </si>
  <si>
    <t>Brandt et al. 2013: HAL 17, haplogroup V, no dates.</t>
  </si>
  <si>
    <t>Brandt et al. 2013: HAL 18, haplogroup K, no dates.</t>
  </si>
  <si>
    <t>Brandt et al. 2013: HAL 21, haplogroup T2b, no dates.</t>
  </si>
  <si>
    <t>Brandt et al. 2013: HAL 27, haplogroup N1a1a3, no dates.</t>
  </si>
  <si>
    <t>Brandt et al. 2013: HAL 22, haplogroup T2b, no dates.</t>
  </si>
  <si>
    <t>Brandt et al. 2013: HAL 32, haplogroup H26, no dates.</t>
  </si>
  <si>
    <t>Brandt et al. 2013: HAL 35,  haplogroup J, no dates.</t>
  </si>
  <si>
    <t>KIA-40349. Brandt et al. 2013: HAL 31, haplogroup K, dates 5171-5073, average 5122 cal BCE.</t>
  </si>
  <si>
    <t>Brandt et al. 2013: HAL 24, haplogroup X, no dates. Dates from Brandt et al. 2013 and Haak et al. 2015.</t>
  </si>
  <si>
    <t>Brandt et al. 2013: HAL 34, haplogroup N1a1, no dates. Dates from Haak et al. 2015.</t>
  </si>
  <si>
    <t>Brandt et al. 2013: HAL 37, haplogroup W. Dates from Brandt et al. 2013 and Haak et al. 2015.</t>
  </si>
  <si>
    <t>KIA-40343. HAL 39b. Brandt et al. 2013: HAL 39, haplogroup H1e, dates 5080-5026, average 5053 cal BCE.</t>
  </si>
  <si>
    <t>Brandt et al. 2013: HAL 40, haplogroup T2b, no dates.</t>
  </si>
  <si>
    <t>Brandt et al. 2013: HAL 38, haplogroup V, no dates.</t>
  </si>
  <si>
    <t>KIA-40344. Brandt et al. 2013: HAL 15, haplogroup N1a1a3, dates (also in Haak et al. 2015) 5030-4948, average 4989 cal BCE.</t>
  </si>
  <si>
    <t>KIA-40342. Brandt et al. 2013: HAL 7a, haplogroup N1a1, dates 5079-5003, average 5041 cal BCE.</t>
  </si>
  <si>
    <t>NAU4</t>
  </si>
  <si>
    <t>NAU 4</t>
  </si>
  <si>
    <t>Dates from Brand et al. 2013 and Haak et al. 2015.</t>
  </si>
  <si>
    <t>Haak et al. 2005, Brandt et al. 2013, Haak et al. 2015</t>
  </si>
  <si>
    <t>Lipson et al. 2017: I2005, HAL03a, haplogroup T2b. Dates from Lipson et al. 2017. Brandt et al. 2013: 5079-4997, average 5122 cal BCE.</t>
  </si>
  <si>
    <t>In Data S1 this individual is classified as Starcevo-Early Neolithic but this is inconsistent with its assumed date (5th. millenium, i.e., about 4,500 cal BCE). We use a range consistent with other Starcevo individuals in this table.*</t>
  </si>
  <si>
    <t>BAM 25</t>
  </si>
  <si>
    <t>BAM 2</t>
  </si>
  <si>
    <t>Tolna-Mözs</t>
  </si>
  <si>
    <t>TOLM 3</t>
  </si>
  <si>
    <t>VINK 1</t>
  </si>
  <si>
    <t>VINK 2</t>
  </si>
  <si>
    <t>VINK 3</t>
  </si>
  <si>
    <t>VINK 5</t>
  </si>
  <si>
    <t>VINJ 1</t>
  </si>
  <si>
    <t>VINJ 2</t>
  </si>
  <si>
    <t>VINJ 3</t>
  </si>
  <si>
    <t>VINJ 4</t>
  </si>
  <si>
    <t>VUKG 1</t>
  </si>
  <si>
    <t>VUKG 3</t>
  </si>
  <si>
    <t>VUKG 4</t>
  </si>
  <si>
    <t>BAM 01</t>
  </si>
  <si>
    <t>BAM 02</t>
  </si>
  <si>
    <t>BAM 03</t>
  </si>
  <si>
    <t>BAM 05</t>
  </si>
  <si>
    <t>BAM 5</t>
  </si>
  <si>
    <t>BAM 06</t>
  </si>
  <si>
    <t>BAM 6</t>
  </si>
  <si>
    <t>BAM 07</t>
  </si>
  <si>
    <t>BAM 08</t>
  </si>
  <si>
    <t>BAM 8</t>
  </si>
  <si>
    <t>BAM 09</t>
  </si>
  <si>
    <t>BAM 1</t>
  </si>
  <si>
    <t>BAM10</t>
  </si>
  <si>
    <t>BAM 10</t>
  </si>
  <si>
    <t>BAM 3. Dates from https://indo-european.eu/ancient-dna/ (accessed 10 August 2022).</t>
  </si>
  <si>
    <t>BAM 7. Dates from https://indo-european.eu/ancient-dna/ (accessed 10 August 2022).</t>
  </si>
  <si>
    <t>BAM 9.  Dates from https://indo-european.eu/ancient-dna/ (accessed 10 August 2022).</t>
  </si>
  <si>
    <t>BAM 12</t>
  </si>
  <si>
    <t>BAM 26</t>
  </si>
  <si>
    <t>BAM 22</t>
  </si>
  <si>
    <t>BAM 13</t>
  </si>
  <si>
    <t>BAM 14</t>
  </si>
  <si>
    <t>BAM 15</t>
  </si>
  <si>
    <t>BAM 16</t>
  </si>
  <si>
    <t>BAM 18</t>
  </si>
  <si>
    <t>BAM 19</t>
  </si>
  <si>
    <t>BAM 20</t>
  </si>
  <si>
    <t>BAM 21</t>
  </si>
  <si>
    <t>BAM 23</t>
  </si>
  <si>
    <t>BAM 24</t>
  </si>
  <si>
    <t>LGCS3</t>
  </si>
  <si>
    <t>LGCS 2</t>
  </si>
  <si>
    <t>LGCS 3</t>
  </si>
  <si>
    <t>LGCS 4</t>
  </si>
  <si>
    <t>I0173 in Haak et al. (2015).</t>
  </si>
  <si>
    <t>Dates from Haak et al. (2015), who use the ID I0177 and do not report the mtDNA haplogroup.</t>
  </si>
  <si>
    <t>Sample ID</t>
  </si>
  <si>
    <t>Other ID</t>
  </si>
  <si>
    <t>BAB3</t>
  </si>
  <si>
    <t>BAB4</t>
  </si>
  <si>
    <t>BAB5</t>
  </si>
  <si>
    <t>BAB6</t>
  </si>
  <si>
    <t>BAB 3</t>
  </si>
  <si>
    <t>BAB 4</t>
  </si>
  <si>
    <t>BAB 5</t>
  </si>
  <si>
    <t>BAB 6</t>
  </si>
  <si>
    <t>Balatonszemes-Bagódomb</t>
  </si>
  <si>
    <t>H26b</t>
  </si>
  <si>
    <t>Bölcske-Gyűrűsvölgy</t>
  </si>
  <si>
    <t>BÖVÖ1</t>
  </si>
  <si>
    <t>BÖVÖ2</t>
  </si>
  <si>
    <t>BÖVÖ3</t>
  </si>
  <si>
    <t>BÖVÖ4</t>
  </si>
  <si>
    <t>BÖVÖ5</t>
  </si>
  <si>
    <t>BÖVÖ 1</t>
  </si>
  <si>
    <t>BÖVÖ 2</t>
  </si>
  <si>
    <t>BÖVÖ 3</t>
  </si>
  <si>
    <t>BÖVÖ 4</t>
  </si>
  <si>
    <t>BÖVÖ 5</t>
  </si>
  <si>
    <t>BUD1</t>
  </si>
  <si>
    <t>BUD2</t>
  </si>
  <si>
    <t>BUD3</t>
  </si>
  <si>
    <t>BUD4</t>
  </si>
  <si>
    <t>BUD5</t>
  </si>
  <si>
    <t>BUD7</t>
  </si>
  <si>
    <t>BUD9</t>
  </si>
  <si>
    <t>BUD10</t>
  </si>
  <si>
    <t>BUD12</t>
  </si>
  <si>
    <t>BUD13</t>
  </si>
  <si>
    <t>BUD14</t>
  </si>
  <si>
    <t>BUD15</t>
  </si>
  <si>
    <t>BUD 1</t>
  </si>
  <si>
    <t>BUD 2</t>
  </si>
  <si>
    <t>BUD 3</t>
  </si>
  <si>
    <t>BUD 4</t>
  </si>
  <si>
    <t>BUD 5</t>
  </si>
  <si>
    <t>BUD 7</t>
  </si>
  <si>
    <t>BUD 9</t>
  </si>
  <si>
    <t>BUD 10</t>
  </si>
  <si>
    <t>BUD 12</t>
  </si>
  <si>
    <t>BUD 13</t>
  </si>
  <si>
    <t>BUD 14</t>
  </si>
  <si>
    <t>BUD 15</t>
  </si>
  <si>
    <t xml:space="preserve">Budakeszi 4/8 Szőlőskert-Tangazdaság </t>
  </si>
  <si>
    <t>Harta-Gátőrház</t>
  </si>
  <si>
    <t>HARG1</t>
  </si>
  <si>
    <t>HARG 1</t>
  </si>
  <si>
    <t>HARG2</t>
  </si>
  <si>
    <t>HARG3</t>
  </si>
  <si>
    <t>HARG4</t>
  </si>
  <si>
    <t>HARG5</t>
  </si>
  <si>
    <t>HARG 2</t>
  </si>
  <si>
    <t>HARG 3</t>
  </si>
  <si>
    <t>HARG 4</t>
  </si>
  <si>
    <t>HARG 5</t>
  </si>
  <si>
    <t>ZC1</t>
  </si>
  <si>
    <t>SJ78, PU380</t>
  </si>
  <si>
    <t>ZC2</t>
  </si>
  <si>
    <t>SJ100, PU387, SJ110</t>
  </si>
  <si>
    <t>ZC3</t>
  </si>
  <si>
    <t>PZ103-35, 103-35</t>
  </si>
  <si>
    <t>KON1</t>
  </si>
  <si>
    <t>KON 1</t>
  </si>
  <si>
    <t>KON 3</t>
  </si>
  <si>
    <t>KNO4</t>
  </si>
  <si>
    <t>KNO5</t>
  </si>
  <si>
    <t>KON 4</t>
  </si>
  <si>
    <t>KON 5</t>
  </si>
  <si>
    <t>M85 Enese elkerülő 02. Kóny, Proletár-dűlő II</t>
  </si>
  <si>
    <t>Szemely-Hegyes</t>
  </si>
  <si>
    <t>SZEH 4</t>
  </si>
  <si>
    <t>SZEH 9</t>
  </si>
  <si>
    <t>SZEH9</t>
  </si>
  <si>
    <t>Balatonszárszó-Kis-erdei-dűlő</t>
  </si>
  <si>
    <t>BSZ 15</t>
  </si>
  <si>
    <t>BSZ 19</t>
  </si>
  <si>
    <t>BSZ15</t>
  </si>
  <si>
    <t>BSZ19</t>
  </si>
  <si>
    <t>BSZ9</t>
  </si>
  <si>
    <t>BSZ21</t>
  </si>
  <si>
    <t>BSZ 9</t>
  </si>
  <si>
    <t>BSZ 21</t>
  </si>
  <si>
    <t>BSZ 5</t>
  </si>
  <si>
    <t>BSZ5</t>
  </si>
  <si>
    <t>KO1</t>
  </si>
  <si>
    <t>BOVO1b in Lipson et al. 2017. Lat., long. &amp; dates from Lipson et al. 2017.</t>
  </si>
  <si>
    <t>BAL25b</t>
  </si>
  <si>
    <t>I1904</t>
  </si>
  <si>
    <t>LBKT_MN</t>
  </si>
  <si>
    <t>HUNG276</t>
  </si>
  <si>
    <t>Mathieson et al. 2015, Lipson et al. 2017</t>
  </si>
  <si>
    <t xml:space="preserve">Lipson et al. 2017: ID BUD9a, location Budakeszi, Szőlőskert-Tangazdaság. Dates from Lipson et al. 2017. </t>
  </si>
  <si>
    <t xml:space="preserve">Lipson et al. 2017: ID BUD4a, location Budakeszi, Szőlőskert-Tangazdaság.  Lat., long., dates and Y DNA haplogroup from Lipson et al. 2017. </t>
  </si>
  <si>
    <t>GEN18</t>
  </si>
  <si>
    <t>I2739</t>
  </si>
  <si>
    <t>Alsónyék-Bátaszék, site 11</t>
  </si>
  <si>
    <t>KON3</t>
  </si>
  <si>
    <t>I3536 in Lipson et al. 2017. Lat., long. &amp; dates from Lipson et al. 2017.</t>
  </si>
  <si>
    <t>Lat. &amp; long. from Lipson et al. 2017.</t>
  </si>
  <si>
    <t>CEG07b</t>
  </si>
  <si>
    <t>I2744</t>
  </si>
  <si>
    <t>CEG08b</t>
  </si>
  <si>
    <t>I2745</t>
  </si>
  <si>
    <t>ALPc_Szakalhat_MN</t>
  </si>
  <si>
    <t>Cegléd, site 4/2</t>
  </si>
  <si>
    <t>Cegléd, site 4/3</t>
  </si>
  <si>
    <t>ALPc_Esztar_MN</t>
  </si>
  <si>
    <t>ALPc_III_MN</t>
  </si>
  <si>
    <t>ALPc_Tiszadob_MN</t>
  </si>
  <si>
    <t>EBSA2a</t>
  </si>
  <si>
    <t>I4186</t>
  </si>
  <si>
    <t>EBVO5a</t>
  </si>
  <si>
    <t>I4187</t>
  </si>
  <si>
    <t>HAJE10a</t>
  </si>
  <si>
    <t>I3535</t>
  </si>
  <si>
    <t>HAJE7a</t>
  </si>
  <si>
    <t>I2384</t>
  </si>
  <si>
    <t>HELI11a</t>
  </si>
  <si>
    <t>I2379</t>
  </si>
  <si>
    <t>HELI2a</t>
  </si>
  <si>
    <t>I2378</t>
  </si>
  <si>
    <t>Ebes-Sajtgyár</t>
  </si>
  <si>
    <t>Ebes-Zsongvölgy</t>
  </si>
  <si>
    <t>Hajdúnánás-Eszlári út</t>
  </si>
  <si>
    <t>Hejőkürt-Lidl logisztikai központ</t>
  </si>
  <si>
    <t xml:space="preserve">K1a </t>
  </si>
  <si>
    <t>Debrecen Tócópart Erdőalja</t>
  </si>
  <si>
    <t>Kompolt-Kígyósér</t>
  </si>
  <si>
    <t>Garadna-Elkerülő út site 2</t>
  </si>
  <si>
    <t>X2b-T226C</t>
  </si>
  <si>
    <t>ALPc_MN</t>
  </si>
  <si>
    <t>Bükk_MN</t>
  </si>
  <si>
    <t>I1498</t>
  </si>
  <si>
    <t>I1500</t>
  </si>
  <si>
    <t>I1499</t>
  </si>
  <si>
    <t>HUNG302</t>
  </si>
  <si>
    <t>NE2</t>
  </si>
  <si>
    <t>HUNG372</t>
  </si>
  <si>
    <t>NE5</t>
  </si>
  <si>
    <t>HUNG86</t>
  </si>
  <si>
    <t>NE3</t>
  </si>
  <si>
    <t>MEMO24b</t>
  </si>
  <si>
    <t>I2382</t>
  </si>
  <si>
    <t>MEMO2b</t>
  </si>
  <si>
    <t>I2380</t>
  </si>
  <si>
    <t>MEMO7a</t>
  </si>
  <si>
    <t>I3537</t>
  </si>
  <si>
    <t>Mezőkövesd-Mocsolyás</t>
  </si>
  <si>
    <t>ALPc_Szatmar_MN</t>
  </si>
  <si>
    <t>I1506</t>
  </si>
  <si>
    <t>I1505</t>
  </si>
  <si>
    <t>PF325</t>
  </si>
  <si>
    <t>NE1</t>
  </si>
  <si>
    <t>PF839/1198</t>
  </si>
  <si>
    <t>NE4</t>
  </si>
  <si>
    <t>ASP 3</t>
  </si>
  <si>
    <t>ASP 10</t>
  </si>
  <si>
    <t>ASP 1</t>
  </si>
  <si>
    <t>ASP 2</t>
  </si>
  <si>
    <t>ASP 4</t>
  </si>
  <si>
    <t>ASP 6</t>
  </si>
  <si>
    <t>ASP 8</t>
  </si>
  <si>
    <t>LBKT_EN</t>
  </si>
  <si>
    <t>Polgár-Ferenci-hát</t>
  </si>
  <si>
    <t>BAL 16</t>
  </si>
  <si>
    <t>I0174. Dates and Y DNA haplogroup from Lipson et al. 2017.</t>
  </si>
  <si>
    <t>GEN 18</t>
  </si>
  <si>
    <t>GEN 68</t>
  </si>
  <si>
    <t>GEN 71</t>
  </si>
  <si>
    <t>POPI5a</t>
  </si>
  <si>
    <t>PULE1.18a</t>
  </si>
  <si>
    <t>PULE1.23a</t>
  </si>
  <si>
    <t>TISO13a</t>
  </si>
  <si>
    <t>TISO1b</t>
  </si>
  <si>
    <t>TISO3a</t>
  </si>
  <si>
    <t>SEKU10a</t>
  </si>
  <si>
    <t>SEKU6a</t>
  </si>
  <si>
    <t>VEGI17a</t>
  </si>
  <si>
    <t>VEGI3a</t>
  </si>
  <si>
    <t>POPI 5a</t>
  </si>
  <si>
    <t>PULE 1.18a</t>
  </si>
  <si>
    <t>PULE 1.23a</t>
  </si>
  <si>
    <t>TISO 13a</t>
  </si>
  <si>
    <t>TISO 1b</t>
  </si>
  <si>
    <t>TISO 3a</t>
  </si>
  <si>
    <t>SEKU 10a</t>
  </si>
  <si>
    <t>SEKU 6a</t>
  </si>
  <si>
    <t>VEGI 17a</t>
  </si>
  <si>
    <t>VEGI 3a</t>
  </si>
  <si>
    <t>I4188</t>
  </si>
  <si>
    <t>I2355</t>
  </si>
  <si>
    <t>I2357</t>
  </si>
  <si>
    <t>I2377</t>
  </si>
  <si>
    <t>I2375</t>
  </si>
  <si>
    <t>I4199</t>
  </si>
  <si>
    <t>I1896</t>
  </si>
  <si>
    <t>I1895</t>
  </si>
  <si>
    <t>I1894</t>
  </si>
  <si>
    <t>I1887</t>
  </si>
  <si>
    <t>TIDO 2a</t>
  </si>
  <si>
    <t>CEG 07b</t>
  </si>
  <si>
    <t>CEG 08b</t>
  </si>
  <si>
    <t>EBSA 2a</t>
  </si>
  <si>
    <t>EBVO 5a</t>
  </si>
  <si>
    <t>HAJE 10a</t>
  </si>
  <si>
    <t>HAJE 7a</t>
  </si>
  <si>
    <t>HELI 11a</t>
  </si>
  <si>
    <t>HELI 2a</t>
  </si>
  <si>
    <t>MEMO 24b</t>
  </si>
  <si>
    <t>MEMO 2b</t>
  </si>
  <si>
    <t>MEMO 7a</t>
  </si>
  <si>
    <t>Polgár-Piócás</t>
  </si>
  <si>
    <t>Pusztataskony-Ledence I.</t>
  </si>
  <si>
    <t>Tiszadob-Ó-Kenéz</t>
  </si>
  <si>
    <t>Szederkény-Kukorica-dülö</t>
  </si>
  <si>
    <t>Versend-Gilencsa</t>
  </si>
  <si>
    <t>ALPc_I_MN</t>
  </si>
  <si>
    <t>ALPc_Tiszadob_Bükk_MN</t>
  </si>
  <si>
    <t>Vinca_MN</t>
  </si>
  <si>
    <t>I2a2a1b1</t>
  </si>
  <si>
    <t>G2a2b2a1a</t>
  </si>
  <si>
    <t>KO2</t>
  </si>
  <si>
    <t>HAL 19. Dates from Lipson et al. 2017.</t>
  </si>
  <si>
    <t>Dates and sex from Lipson et al. 2017.</t>
  </si>
  <si>
    <t xml:space="preserve">Dates from Lipson et al. 2017. Brandt et al. 2013: UWS 4, haplogroup J, no dates. Haak et al. 2015: dates 5209-5070, average 5140 cal BCE. </t>
  </si>
  <si>
    <t>T2c1d/T2c1d2</t>
  </si>
  <si>
    <t>Haplogroups and dates from Lipson et al. 2017. Haak et al. 2015: T2c1d, R1b1, dates 5178-5066 (average 5122 cal BCE).</t>
  </si>
  <si>
    <t>Dates from Lipson et al. 2017. Haak et al. 2015: 5303-5204, average 5254 cal BCE.</t>
  </si>
  <si>
    <t>Dates from Lipson et al. 2017. Haak et al. 2015: 5310-5206, average 5258 cal BCE.</t>
  </si>
  <si>
    <t>Haplogroups and sex from Lipson et al. 2017 (BAM13b, I1877, dates 5704-5556 cal BCE).</t>
  </si>
  <si>
    <t>CEG03b</t>
  </si>
  <si>
    <t>I2743</t>
  </si>
  <si>
    <t>CEG 03b</t>
  </si>
  <si>
    <t>Cegléd, site 4/1</t>
  </si>
  <si>
    <t>HAJE1a</t>
  </si>
  <si>
    <t>HAJE 1a</t>
  </si>
  <si>
    <t>I2383</t>
  </si>
  <si>
    <t>TISO11a</t>
  </si>
  <si>
    <t>TIDO3a</t>
  </si>
  <si>
    <t>TIDO 3a</t>
  </si>
  <si>
    <t>I2376</t>
  </si>
  <si>
    <t>I4972</t>
  </si>
  <si>
    <t>Koros_EN</t>
  </si>
  <si>
    <t>HV0a</t>
  </si>
  <si>
    <t>I1889</t>
  </si>
  <si>
    <t>SEKU 1a</t>
  </si>
  <si>
    <t>SEKU1a</t>
  </si>
  <si>
    <t>I1883</t>
  </si>
  <si>
    <t>TOLM4a</t>
  </si>
  <si>
    <t>I2373</t>
  </si>
  <si>
    <t>All data from Lipson et al. 2017. Szécsényi-Nagy et al. 2015: 5310-5050, average 5180 cal BCE, Croatia, mtDNA hapl. K, LBK, ID TOLM 4, other ID 1649.</t>
  </si>
  <si>
    <t>Lipson et al. 2017: location Bátaszék-Lajvér.</t>
  </si>
  <si>
    <t>TOSM1a</t>
  </si>
  <si>
    <t>TOSM 1a</t>
  </si>
  <si>
    <t>I2374</t>
  </si>
  <si>
    <t>TOSM 3a</t>
  </si>
  <si>
    <t>TOSM3a</t>
  </si>
  <si>
    <t>Törökszentmiklos Tiszapüspöki Karanycs haromag 3. lh.</t>
  </si>
  <si>
    <t>VEGI1a</t>
  </si>
  <si>
    <t>VEGI 1a</t>
  </si>
  <si>
    <t>I1885</t>
  </si>
  <si>
    <t>HAL 14. Dates from Haak et al. 2015. Lipson et al. 2017: 5213-5009, average 5111 cal BCE.</t>
  </si>
  <si>
    <t>HUNG345a, KO 1, mt DNA haplogroup from Mathieson et al. 2015 (R3 in Gamba et al. 2014).</t>
  </si>
  <si>
    <t>Harney et al. 2021</t>
  </si>
  <si>
    <t>Polgár-Ferenci-hát, 717/1021</t>
  </si>
  <si>
    <t>Polgár-Ferenci-hát, 715/1022</t>
  </si>
  <si>
    <t>511, 512, 513,514</t>
  </si>
  <si>
    <t>515, 516, 517</t>
  </si>
  <si>
    <t>Balkans_N</t>
  </si>
  <si>
    <t xml:space="preserve"> I11929,  I11930,  I11931,  I11932. Lat., long. &amp; calibrated dates from https://indo-european.eu/ancient-dna/ (accessed 10 August 2022).</t>
  </si>
  <si>
    <t xml:space="preserve"> I11933,  I11934,  I11935. Lat., long. &amp; calibrated dates from https://indo-european.eu/ancient-dna/ (accessed 10 August 2022).</t>
  </si>
  <si>
    <r>
      <rPr>
        <sz val="12"/>
        <color theme="1"/>
        <rFont val="Calibri"/>
        <family val="2"/>
        <scheme val="minor"/>
      </rPr>
      <t>Guba, Z., Hadadi, É., Major, Á. et al. HVS-I polymorphism screening of ancient human mitochondrial DNA provides evidence for N9a discontinuity and East Asian haplogroups in the Neolithic Hungary.</t>
    </r>
    <r>
      <rPr>
        <i/>
        <sz val="12"/>
        <color theme="1"/>
        <rFont val="Calibri"/>
        <family val="2"/>
        <scheme val="minor"/>
      </rPr>
      <t xml:space="preserve"> J Hum Genet </t>
    </r>
    <r>
      <rPr>
        <b/>
        <sz val="12"/>
        <color theme="1"/>
        <rFont val="Calibri"/>
        <family val="2"/>
        <scheme val="minor"/>
      </rPr>
      <t>56</t>
    </r>
    <r>
      <rPr>
        <sz val="12"/>
        <color theme="1"/>
        <rFont val="Calibri"/>
        <family val="2"/>
        <scheme val="minor"/>
      </rPr>
      <t>, 784–796 (2011).</t>
    </r>
  </si>
  <si>
    <t>Guba et al. 2011</t>
  </si>
  <si>
    <t>Kisköre-Gát 15 (2/5)</t>
  </si>
  <si>
    <t>Alfold_Linear_Pottery</t>
  </si>
  <si>
    <t>Kisköre-Gát</t>
  </si>
  <si>
    <t>D1/G1a1</t>
  </si>
  <si>
    <t>Vörs 52 (4/3)</t>
  </si>
  <si>
    <t>C5</t>
  </si>
  <si>
    <t>Vörs</t>
  </si>
  <si>
    <t>Ecsegfalva (2/4)</t>
  </si>
  <si>
    <t>Szakmá 8 (3/6)</t>
  </si>
  <si>
    <t>Szarvas 23/20 (10/40)</t>
  </si>
  <si>
    <t>Csongrád 20 (2/4)</t>
  </si>
  <si>
    <t>Szarvas</t>
  </si>
  <si>
    <t>Szakmá</t>
  </si>
  <si>
    <t>Csongrád</t>
  </si>
  <si>
    <t>N9a</t>
  </si>
  <si>
    <t>Szegvár 25 (2/4)</t>
  </si>
  <si>
    <t>Szegvár</t>
  </si>
  <si>
    <t>Aszód (2/4)</t>
  </si>
  <si>
    <t>Folyás 111 (2/3)</t>
  </si>
  <si>
    <t>Aszód</t>
  </si>
  <si>
    <t>Folyás</t>
  </si>
  <si>
    <t>Balkans_LN</t>
  </si>
  <si>
    <t>Mezőkövesd 25 (3/3)</t>
  </si>
  <si>
    <t>Mezőkövesd</t>
  </si>
  <si>
    <t>M/R24</t>
  </si>
  <si>
    <t>I4062</t>
  </si>
  <si>
    <t>I4063</t>
  </si>
  <si>
    <t>I4064</t>
  </si>
  <si>
    <t>I4065</t>
  </si>
  <si>
    <t>Fernandes et al. 2021</t>
  </si>
  <si>
    <r>
      <t xml:space="preserve">Fernandes, D.M., Mittnik, A., Olalde, I. et al. The spread of steppe and Iranian-related ancestry in the islands of the western Mediterranean. </t>
    </r>
    <r>
      <rPr>
        <i/>
        <sz val="11"/>
        <color theme="1"/>
        <rFont val="Calibri"/>
        <family val="2"/>
        <scheme val="minor"/>
      </rPr>
      <t xml:space="preserve">Nat. Ecol. Evol. </t>
    </r>
    <r>
      <rPr>
        <b/>
        <sz val="11"/>
        <color theme="1"/>
        <rFont val="Calibri"/>
        <family val="2"/>
        <scheme val="minor"/>
      </rPr>
      <t>4</t>
    </r>
    <r>
      <rPr>
        <sz val="11"/>
        <color theme="1"/>
        <rFont val="Calibri"/>
        <family val="2"/>
        <scheme val="minor"/>
      </rPr>
      <t>, 334–345 (2020), Supp. Data.</t>
    </r>
  </si>
  <si>
    <t>Sicily, Fossato di Stretto Partana</t>
  </si>
  <si>
    <t>Sicily, Grotta dell’Uzzo</t>
  </si>
  <si>
    <t>Sicily_MN</t>
  </si>
  <si>
    <t>FS2</t>
  </si>
  <si>
    <t>FS3, Sporadico, Della sezione sudoveste saggio A</t>
  </si>
  <si>
    <t>FS4, FOST_1</t>
  </si>
  <si>
    <t>FS5</t>
  </si>
  <si>
    <t>H1+16189!</t>
  </si>
  <si>
    <t>Graefen 2020</t>
  </si>
  <si>
    <t>Mezzo2</t>
  </si>
  <si>
    <t>Italy_EN</t>
  </si>
  <si>
    <t>Mezzocorona</t>
  </si>
  <si>
    <t>GB2</t>
  </si>
  <si>
    <t>GB3</t>
  </si>
  <si>
    <t>NE-1</t>
  </si>
  <si>
    <t>Ca1</t>
  </si>
  <si>
    <t>Ca2</t>
  </si>
  <si>
    <t>Epicardial</t>
  </si>
  <si>
    <t>Cardial</t>
  </si>
  <si>
    <t>Avellaner cave, Cogolls, Les Planes d'Hostoles (Girona)</t>
  </si>
  <si>
    <t>Avellaner cave, Cogolls, Les Planes d'Hostoles, Girona</t>
  </si>
  <si>
    <t>Can Sadurní, Begues, Barcelona</t>
  </si>
  <si>
    <t xml:space="preserve">Cova Bonica, Vallirana, Barcelona </t>
  </si>
  <si>
    <t xml:space="preserve">Els Trocs, San Feliú de Veri/Bisaurri, Aragon </t>
  </si>
  <si>
    <t>ave01</t>
  </si>
  <si>
    <t>ave02</t>
  </si>
  <si>
    <t>ave03</t>
  </si>
  <si>
    <t>ave04</t>
  </si>
  <si>
    <t>ave05</t>
  </si>
  <si>
    <t>ave06</t>
  </si>
  <si>
    <t>ave07</t>
  </si>
  <si>
    <t>E1b1b1</t>
  </si>
  <si>
    <t>Lacan et al. 2011</t>
  </si>
  <si>
    <t>This individual is apparently not included in https://indo-european.eu/ancient-dna/ (accessed 10 August 2022).</t>
  </si>
  <si>
    <t>AEH074; AEH091</t>
  </si>
  <si>
    <t>AEH092; AEH169</t>
  </si>
  <si>
    <t>AEH093; AEH170</t>
  </si>
  <si>
    <t>AEH04; AEH171</t>
  </si>
  <si>
    <t>Spain Navarre</t>
  </si>
  <si>
    <t>Erroneously classified as HG (with wrong dates) in  https://indo-european.eu/ancient-dna/ and also in https://en.wikipedia.org/, entry 'haplogroup K', section 'Ancient DNA' (accessed 10 August 2022).</t>
  </si>
  <si>
    <r>
      <t xml:space="preserve">Lacan, M., Keyser, C., Ricaut, F.-X., Brucato, N., Tarrús, J., ... &amp; Ludes, B. (2011). Ancient DNA suggests the leading role played by men in the Neolithic dissemination. </t>
    </r>
    <r>
      <rPr>
        <i/>
        <sz val="12"/>
        <color theme="1"/>
        <rFont val="Calibri"/>
        <family val="2"/>
        <scheme val="minor"/>
      </rPr>
      <t>PNAS</t>
    </r>
    <r>
      <rPr>
        <b/>
        <sz val="12"/>
        <color theme="1"/>
        <rFont val="Calibri"/>
        <family val="2"/>
        <scheme val="minor"/>
      </rPr>
      <t xml:space="preserve">108 </t>
    </r>
    <r>
      <rPr>
        <sz val="12"/>
        <color theme="1"/>
        <rFont val="Calibri"/>
        <family val="2"/>
        <scheme val="minor"/>
      </rPr>
      <t>(45): 18255–18259.</t>
    </r>
  </si>
  <si>
    <r>
      <t xml:space="preserve">Valdiosera, C. et al. Four millennia of Iberian biomolecular prehistory illustrate the impact of prehistoric migrations at the far end of Eurasia. </t>
    </r>
    <r>
      <rPr>
        <i/>
        <sz val="11"/>
        <color theme="1"/>
        <rFont val="Calibri"/>
        <family val="2"/>
        <scheme val="minor"/>
      </rPr>
      <t>PNAS</t>
    </r>
    <r>
      <rPr>
        <sz val="11"/>
        <color theme="1"/>
        <rFont val="Calibri"/>
        <family val="2"/>
        <scheme val="minor"/>
      </rPr>
      <t xml:space="preserve"> </t>
    </r>
    <r>
      <rPr>
        <b/>
        <sz val="11"/>
        <color theme="1"/>
        <rFont val="Calibri"/>
        <family val="2"/>
        <scheme val="minor"/>
      </rPr>
      <t>115</t>
    </r>
    <r>
      <rPr>
        <sz val="11"/>
        <color theme="1"/>
        <rFont val="Calibri"/>
        <family val="2"/>
        <scheme val="minor"/>
      </rPr>
      <t xml:space="preserve"> (13), 3428-3433 (2018). Dates and haplogroups appear in Supp. Info. Table S4.1.</t>
    </r>
  </si>
  <si>
    <r>
      <t xml:space="preserve">Villalba-Mouco, V. et al. Survival of Late Pleistocene Hunter-Gatherer Ancestry in the Iberian Peninsula. </t>
    </r>
    <r>
      <rPr>
        <i/>
        <sz val="11"/>
        <color theme="1"/>
        <rFont val="Calibri"/>
        <family val="2"/>
        <scheme val="minor"/>
      </rPr>
      <t>Crrent Biology</t>
    </r>
    <r>
      <rPr>
        <sz val="11"/>
        <color theme="1"/>
        <rFont val="Calibri"/>
        <family val="2"/>
        <scheme val="minor"/>
      </rPr>
      <t xml:space="preserve">. </t>
    </r>
    <r>
      <rPr>
        <b/>
        <sz val="11"/>
        <color theme="1"/>
        <rFont val="Calibri"/>
        <family val="2"/>
        <scheme val="minor"/>
      </rPr>
      <t>29</t>
    </r>
    <r>
      <rPr>
        <sz val="11"/>
        <color theme="1"/>
        <rFont val="Calibri"/>
        <family val="2"/>
        <scheme val="minor"/>
      </rPr>
      <t>, 1–9 (2019). Dates and haplogroups appear in Supp. Info., tables S1A and S1E. Individual CHA004 has been excluded because it is reported as in Middle Neolithic in p. e6.</t>
    </r>
  </si>
  <si>
    <r>
      <t xml:space="preserve">Szécsényi-Nagy, A. </t>
    </r>
    <r>
      <rPr>
        <i/>
        <sz val="11"/>
        <color theme="1"/>
        <rFont val="Calibri"/>
        <family val="2"/>
        <scheme val="minor"/>
      </rPr>
      <t>et al.</t>
    </r>
    <r>
      <rPr>
        <sz val="11"/>
        <color theme="1"/>
        <rFont val="Calibri"/>
        <family val="2"/>
        <scheme val="minor"/>
      </rPr>
      <t xml:space="preserve"> The maternal genetic make-up of the Iberian Peninsula between the Neolithic and the Early Bronze Age. </t>
    </r>
    <r>
      <rPr>
        <i/>
        <sz val="11"/>
        <color theme="1"/>
        <rFont val="Calibri"/>
        <family val="2"/>
        <scheme val="minor"/>
      </rPr>
      <t>Scientific Reports.</t>
    </r>
    <r>
      <rPr>
        <sz val="11"/>
        <color theme="1"/>
        <rFont val="Calibri"/>
        <family val="2"/>
        <scheme val="minor"/>
      </rPr>
      <t xml:space="preserve"> </t>
    </r>
    <r>
      <rPr>
        <b/>
        <sz val="11"/>
        <color theme="1"/>
        <rFont val="Calibri"/>
        <family val="2"/>
        <scheme val="minor"/>
      </rPr>
      <t>7</t>
    </r>
    <r>
      <rPr>
        <sz val="11"/>
        <color theme="1"/>
        <rFont val="Calibri"/>
        <family val="2"/>
        <scheme val="minor"/>
      </rPr>
      <t>, 15644 (2017). Dates and haplogroups appear in Supp. Info. Supplementary Tables S1-16.</t>
    </r>
  </si>
  <si>
    <r>
      <t xml:space="preserve">Kılınç, G.M. </t>
    </r>
    <r>
      <rPr>
        <i/>
        <sz val="11"/>
        <color theme="1"/>
        <rFont val="Calibri"/>
        <family val="2"/>
        <scheme val="minor"/>
      </rPr>
      <t>et al.</t>
    </r>
    <r>
      <rPr>
        <sz val="11"/>
        <color theme="1"/>
        <rFont val="Calibri"/>
        <family val="2"/>
        <scheme val="minor"/>
      </rPr>
      <t xml:space="preserve"> The demographic development of the first farmers in Anatolia. </t>
    </r>
    <r>
      <rPr>
        <i/>
        <sz val="11"/>
        <color theme="1"/>
        <rFont val="Calibri"/>
        <family val="2"/>
        <scheme val="minor"/>
      </rPr>
      <t>Current Biology</t>
    </r>
    <r>
      <rPr>
        <sz val="11"/>
        <color theme="1"/>
        <rFont val="Calibri"/>
        <family val="2"/>
        <scheme val="minor"/>
      </rPr>
      <t xml:space="preserve">. </t>
    </r>
    <r>
      <rPr>
        <b/>
        <sz val="11"/>
        <color theme="1"/>
        <rFont val="Calibri"/>
        <family val="2"/>
        <scheme val="minor"/>
      </rPr>
      <t>26</t>
    </r>
    <r>
      <rPr>
        <sz val="11"/>
        <color theme="1"/>
        <rFont val="Calibri"/>
        <family val="2"/>
        <scheme val="minor"/>
      </rPr>
      <t>, 2659–2666 (2016).  Dates and haplogroups appear in Supp. Info. Data S1, Data S2 and Table 1 in the main paper.</t>
    </r>
  </si>
  <si>
    <r>
      <t xml:space="preserve">Hervella, M. </t>
    </r>
    <r>
      <rPr>
        <i/>
        <sz val="11"/>
        <color theme="1"/>
        <rFont val="Calibri"/>
        <family val="2"/>
        <scheme val="minor"/>
      </rPr>
      <t>et al</t>
    </r>
    <r>
      <rPr>
        <sz val="11"/>
        <color theme="1"/>
        <rFont val="Calibri"/>
        <family val="2"/>
        <scheme val="minor"/>
      </rPr>
      <t xml:space="preserve">. Ancient DNA from South-East Europe Reveals Different Events during Early and Middle Neolithic Influencing the European Genetic Heritage. </t>
    </r>
    <r>
      <rPr>
        <i/>
        <sz val="11"/>
        <color theme="1"/>
        <rFont val="Calibri"/>
        <family val="2"/>
        <scheme val="minor"/>
      </rPr>
      <t>PLoS ONE</t>
    </r>
    <r>
      <rPr>
        <sz val="11"/>
        <color theme="1"/>
        <rFont val="Calibri"/>
        <family val="2"/>
        <scheme val="minor"/>
      </rPr>
      <t xml:space="preserve">. </t>
    </r>
    <r>
      <rPr>
        <b/>
        <sz val="11"/>
        <color theme="1"/>
        <rFont val="Calibri"/>
        <family val="2"/>
        <scheme val="minor"/>
      </rPr>
      <t>10</t>
    </r>
    <r>
      <rPr>
        <sz val="11"/>
        <color theme="1"/>
        <rFont val="Calibri"/>
        <family val="2"/>
        <scheme val="minor"/>
      </rPr>
      <t>, e0128810 (2015). Dates and haplogroups appear in main paper, Tables 1 and 2, and Supp. Info., Tables S1 and S2.</t>
    </r>
  </si>
  <si>
    <r>
      <t xml:space="preserve">Hervella, M. </t>
    </r>
    <r>
      <rPr>
        <i/>
        <sz val="11"/>
        <color theme="1"/>
        <rFont val="Calibri"/>
        <family val="2"/>
        <scheme val="minor"/>
      </rPr>
      <t>et al.</t>
    </r>
    <r>
      <rPr>
        <sz val="11"/>
        <color theme="1"/>
        <rFont val="Calibri"/>
        <family val="2"/>
        <scheme val="minor"/>
      </rPr>
      <t xml:space="preserve"> Ancient DNA from hunter-gatherer and farmers groups from Northern Spain supports a random dispersion model for the Neolithic expansion into Europe. </t>
    </r>
    <r>
      <rPr>
        <i/>
        <sz val="11"/>
        <color theme="1"/>
        <rFont val="Calibri"/>
        <family val="2"/>
        <scheme val="minor"/>
      </rPr>
      <t>PLoS ONE</t>
    </r>
    <r>
      <rPr>
        <sz val="11"/>
        <color theme="1"/>
        <rFont val="Calibri"/>
        <family val="2"/>
        <scheme val="minor"/>
      </rPr>
      <t xml:space="preserve">. </t>
    </r>
    <r>
      <rPr>
        <b/>
        <sz val="11"/>
        <color theme="1"/>
        <rFont val="Calibri"/>
        <family val="2"/>
        <scheme val="minor"/>
      </rPr>
      <t>7</t>
    </r>
    <r>
      <rPr>
        <sz val="11"/>
        <color theme="1"/>
        <rFont val="Calibri"/>
        <family val="2"/>
        <scheme val="minor"/>
      </rPr>
      <t>, e34417 (2012). Dates and haplogroups appear in main paper, Tables 1 and 4, and Supp. Info., Tables S1 and S4.</t>
    </r>
  </si>
  <si>
    <r>
      <rPr>
        <sz val="12"/>
        <color theme="1"/>
        <rFont val="Calibri"/>
        <family val="2"/>
        <scheme val="minor"/>
      </rPr>
      <t xml:space="preserve">Harney, É., Cheronet, O., Fernandes, D. M., Sirak, K., Mah, M., Bernardos, R., ... &amp; Oppenheimer, J. (2020). A Minimally Destructive Protocol for DNA Extraction from Ancient Teeth. </t>
    </r>
    <r>
      <rPr>
        <i/>
        <sz val="12"/>
        <color theme="1"/>
        <rFont val="Calibri"/>
        <family val="2"/>
        <scheme val="minor"/>
      </rPr>
      <t xml:space="preserve">Genome Res. </t>
    </r>
    <r>
      <rPr>
        <b/>
        <sz val="12"/>
        <color theme="1"/>
        <rFont val="Calibri"/>
        <family val="2"/>
        <scheme val="minor"/>
      </rPr>
      <t>31,</t>
    </r>
    <r>
      <rPr>
        <sz val="12"/>
        <color theme="1"/>
        <rFont val="Calibri"/>
        <family val="2"/>
        <scheme val="minor"/>
      </rPr>
      <t xml:space="preserve"> 472-483, Table S1.</t>
    </r>
  </si>
  <si>
    <r>
      <t xml:space="preserve">Gamba, C. </t>
    </r>
    <r>
      <rPr>
        <i/>
        <sz val="11"/>
        <color theme="1"/>
        <rFont val="Calibri"/>
        <family val="2"/>
        <scheme val="minor"/>
      </rPr>
      <t>et al.</t>
    </r>
    <r>
      <rPr>
        <sz val="11"/>
        <color theme="1"/>
        <rFont val="Calibri"/>
        <family val="2"/>
        <scheme val="minor"/>
      </rPr>
      <t xml:space="preserve"> Ancient DNA from an Early Neolithic Iberian population supports a pioneer colonization by first farmers. </t>
    </r>
    <r>
      <rPr>
        <i/>
        <sz val="11"/>
        <color theme="1"/>
        <rFont val="Calibri"/>
        <family val="2"/>
        <scheme val="minor"/>
      </rPr>
      <t>Mol. Ecol.</t>
    </r>
    <r>
      <rPr>
        <sz val="11"/>
        <color theme="1"/>
        <rFont val="Calibri"/>
        <family val="2"/>
        <scheme val="minor"/>
      </rPr>
      <t xml:space="preserve"> </t>
    </r>
    <r>
      <rPr>
        <b/>
        <sz val="11"/>
        <color theme="1"/>
        <rFont val="Calibri"/>
        <family val="2"/>
        <scheme val="minor"/>
      </rPr>
      <t>21</t>
    </r>
    <r>
      <rPr>
        <sz val="11"/>
        <color theme="1"/>
        <rFont val="Calibri"/>
        <family val="2"/>
        <scheme val="minor"/>
      </rPr>
      <t>, 45-56 (2012). Dates and haplogroups appear in the main paper, Table 1, p. 52, and Supp. Info., Table S1.</t>
    </r>
  </si>
  <si>
    <r>
      <t xml:space="preserve">Haak, W. </t>
    </r>
    <r>
      <rPr>
        <i/>
        <sz val="11"/>
        <color theme="1"/>
        <rFont val="Calibri"/>
        <family val="2"/>
        <scheme val="minor"/>
      </rPr>
      <t>et al.</t>
    </r>
    <r>
      <rPr>
        <sz val="11"/>
        <color theme="1"/>
        <rFont val="Calibri"/>
        <family val="2"/>
        <scheme val="minor"/>
      </rPr>
      <t xml:space="preserve"> Ancient DNA from the first European farmers in 7,500 year old Neolithic sites. </t>
    </r>
    <r>
      <rPr>
        <i/>
        <sz val="11"/>
        <color theme="1"/>
        <rFont val="Calibri"/>
        <family val="2"/>
        <scheme val="minor"/>
      </rPr>
      <t>Science.</t>
    </r>
    <r>
      <rPr>
        <sz val="11"/>
        <color theme="1"/>
        <rFont val="Calibri"/>
        <family val="2"/>
        <scheme val="minor"/>
      </rPr>
      <t xml:space="preserve"> </t>
    </r>
    <r>
      <rPr>
        <b/>
        <sz val="11"/>
        <color theme="1"/>
        <rFont val="Calibri"/>
        <family val="2"/>
        <scheme val="minor"/>
      </rPr>
      <t>310</t>
    </r>
    <r>
      <rPr>
        <sz val="11"/>
        <color theme="1"/>
        <rFont val="Calibri"/>
        <family val="2"/>
        <scheme val="minor"/>
      </rPr>
      <t>, 1016-1018 (2005).  Dates and haplogroups appear in the main paper, Table 1, and Supp. Info., Tables S1 and Table S4.</t>
    </r>
  </si>
  <si>
    <r>
      <t xml:space="preserve">Haak, W. </t>
    </r>
    <r>
      <rPr>
        <i/>
        <sz val="11"/>
        <color theme="1"/>
        <rFont val="Calibri"/>
        <family val="2"/>
        <scheme val="minor"/>
      </rPr>
      <t>et al.</t>
    </r>
    <r>
      <rPr>
        <sz val="11"/>
        <color theme="1"/>
        <rFont val="Calibri"/>
        <family val="2"/>
        <scheme val="minor"/>
      </rPr>
      <t xml:space="preserve"> Massive migration from the steppe was a source for Indo-European languages in Europe.</t>
    </r>
    <r>
      <rPr>
        <i/>
        <sz val="11"/>
        <color theme="1"/>
        <rFont val="Calibri"/>
        <family val="2"/>
        <scheme val="minor"/>
      </rPr>
      <t xml:space="preserve"> Nature.</t>
    </r>
    <r>
      <rPr>
        <sz val="11"/>
        <color theme="1"/>
        <rFont val="Calibri"/>
        <family val="2"/>
        <scheme val="minor"/>
      </rPr>
      <t xml:space="preserve"> </t>
    </r>
    <r>
      <rPr>
        <b/>
        <sz val="11"/>
        <color theme="1"/>
        <rFont val="Calibri"/>
        <family val="2"/>
        <scheme val="minor"/>
      </rPr>
      <t>522</t>
    </r>
    <r>
      <rPr>
        <sz val="11"/>
        <color theme="1"/>
        <rFont val="Calibri"/>
        <family val="2"/>
        <scheme val="minor"/>
      </rPr>
      <t>, 207–211 (2015). Dates and haplogroups appear in Supp. Info., Supplementary Data 1.</t>
    </r>
  </si>
  <si>
    <r>
      <t xml:space="preserve">Feldman, M. </t>
    </r>
    <r>
      <rPr>
        <i/>
        <sz val="11"/>
        <color theme="1"/>
        <rFont val="Calibri"/>
        <family val="2"/>
        <scheme val="minor"/>
      </rPr>
      <t>et al.</t>
    </r>
    <r>
      <rPr>
        <sz val="11"/>
        <color theme="1"/>
        <rFont val="Calibri"/>
        <family val="2"/>
        <scheme val="minor"/>
      </rPr>
      <t xml:space="preserve"> Late Pleistocene human genome suggests a local origin for the first farmers of central Anatolia. </t>
    </r>
    <r>
      <rPr>
        <i/>
        <sz val="11"/>
        <color theme="1"/>
        <rFont val="Calibri"/>
        <family val="2"/>
        <scheme val="minor"/>
      </rPr>
      <t>Nat. Commun.</t>
    </r>
    <r>
      <rPr>
        <sz val="11"/>
        <color theme="1"/>
        <rFont val="Calibri"/>
        <family val="2"/>
        <scheme val="minor"/>
      </rPr>
      <t xml:space="preserve"> </t>
    </r>
    <r>
      <rPr>
        <b/>
        <sz val="11"/>
        <color theme="1"/>
        <rFont val="Calibri"/>
        <family val="2"/>
        <scheme val="minor"/>
      </rPr>
      <t>10</t>
    </r>
    <r>
      <rPr>
        <sz val="11"/>
        <color theme="1"/>
        <rFont val="Calibri"/>
        <family val="2"/>
        <scheme val="minor"/>
      </rPr>
      <t>, Article number: 1218 (2019). Dates and haplogroups appear in the main paper, Table 1, and Supplementary Data 2 and Data 6.</t>
    </r>
  </si>
  <si>
    <r>
      <t xml:space="preserve">Scheib, C. L., </t>
    </r>
    <r>
      <rPr>
        <i/>
        <sz val="11"/>
        <color theme="1"/>
        <rFont val="Calibri"/>
        <family val="2"/>
        <scheme val="minor"/>
      </rPr>
      <t>et al</t>
    </r>
    <r>
      <rPr>
        <sz val="11"/>
        <color theme="1"/>
        <rFont val="Calibri"/>
        <family val="2"/>
        <scheme val="minor"/>
      </rPr>
      <t xml:space="preserve">. East Anglian early Neolithic monument burial linked to contemporary Megaliths. </t>
    </r>
    <r>
      <rPr>
        <i/>
        <sz val="11"/>
        <color theme="1"/>
        <rFont val="Calibri"/>
        <family val="2"/>
        <scheme val="minor"/>
      </rPr>
      <t>Annals of Human Biology</t>
    </r>
    <r>
      <rPr>
        <sz val="11"/>
        <color theme="1"/>
        <rFont val="Calibri"/>
        <family val="2"/>
        <scheme val="minor"/>
      </rPr>
      <t xml:space="preserve">. </t>
    </r>
    <r>
      <rPr>
        <b/>
        <sz val="11"/>
        <color theme="1"/>
        <rFont val="Calibri"/>
        <family val="2"/>
        <scheme val="minor"/>
      </rPr>
      <t>46</t>
    </r>
    <r>
      <rPr>
        <sz val="11"/>
        <color theme="1"/>
        <rFont val="Calibri"/>
        <family val="2"/>
        <scheme val="minor"/>
      </rPr>
      <t xml:space="preserve"> (2), 145-149 (2019). Dates and haplogroups appear in main paper Table 1 p. 146 and in Cassidy </t>
    </r>
    <r>
      <rPr>
        <i/>
        <sz val="11"/>
        <color theme="1"/>
        <rFont val="Calibri"/>
        <family val="2"/>
        <scheme val="minor"/>
      </rPr>
      <t>et al.</t>
    </r>
    <r>
      <rPr>
        <sz val="11"/>
        <color theme="1"/>
        <rFont val="Calibri"/>
        <family val="2"/>
        <scheme val="minor"/>
      </rPr>
      <t xml:space="preserve"> (2020) Supp. Data S3.</t>
    </r>
  </si>
  <si>
    <t>All individuals from Hervella et al. 2015 are apparently missing in https://indo-european.eu/ancient-dna/ (accessed 10 August 2022).</t>
  </si>
  <si>
    <t>Inidvidual CHA004 has been excluded because it is Middle Neolithic (p. e6) and has date range 4544-4373 cal BCE.</t>
  </si>
  <si>
    <t>TOR.8.SG and different dates (5100-4800, mean 4950 cal BCE) in https://indo-european.eu/ancient-dna/ (accessed 10 August 2022).</t>
  </si>
  <si>
    <t>TOR.11.SG and different dates (5036-4846, mean 4946 cal BCE) in https://indo-european.eu/ancient-dna/ (accessed 10 August 2022).</t>
  </si>
  <si>
    <r>
      <t xml:space="preserve">Fregel, R. et al. Ancient genomes from North Africa evidence prehistoric migrations to the Maghreb from both the Levant and Europe. </t>
    </r>
    <r>
      <rPr>
        <i/>
        <sz val="11"/>
        <color theme="1"/>
        <rFont val="Calibri"/>
        <family val="2"/>
        <scheme val="minor"/>
      </rPr>
      <t>PNAS.</t>
    </r>
    <r>
      <rPr>
        <sz val="11"/>
        <color theme="1"/>
        <rFont val="Calibri"/>
        <family val="2"/>
        <scheme val="minor"/>
      </rPr>
      <t xml:space="preserve"> </t>
    </r>
    <r>
      <rPr>
        <b/>
        <sz val="11"/>
        <color theme="1"/>
        <rFont val="Calibri"/>
        <family val="2"/>
        <scheme val="minor"/>
      </rPr>
      <t>115</t>
    </r>
    <r>
      <rPr>
        <sz val="11"/>
        <color theme="1"/>
        <rFont val="Calibri"/>
        <family val="2"/>
        <scheme val="minor"/>
      </rPr>
      <t xml:space="preserve"> (26), 6774-6779 (2018). Dates and haplogroups appear in SI Appendix, p. 19 and p. 89, respectively.</t>
    </r>
  </si>
  <si>
    <t>TOR.6.SG and different dates (5100-4800, mean 4950 cal BCE) in https://indo-european.eu/ancient-dna/ (accessed 10 August 2022).</t>
  </si>
  <si>
    <t>TOR.7.SG and different dates (5100-4800, mean 4950 cal BCE) in https://indo-european.eu/ancient-dna/ (accessed 10 August 2022).</t>
  </si>
  <si>
    <t>Fregel et al. 2018; Olalde et al. 2019</t>
  </si>
  <si>
    <t>Different dates (5280-4780, mean 5030 cal BCE) in https://indo-european.eu/ancient-dna/ (accessed 10 August 2022).</t>
  </si>
  <si>
    <t>Y DNA haplogroup from Olalde et al. 2019</t>
  </si>
  <si>
    <t>R1b1a (xR1b1a1a2)</t>
  </si>
  <si>
    <t>Dates from Lipson et al. 2017 and Olalde et al. 2019. Olalde et al. 2015: dates 5470-5360, average 5415 cal BCE.</t>
  </si>
  <si>
    <t>Fregel et al. 2017</t>
  </si>
  <si>
    <t>BOT.1</t>
  </si>
  <si>
    <t>Lat. &amp; long. from https://www.megalithic.co.uk/article.php?sid=5220</t>
  </si>
  <si>
    <t>Dates from Villalba-Mouco et al. 2019. Same source but different mtDNA haplogroup and dates in https://indo-european.eu/ancient-dna/ (accessed 10 August 2022).</t>
  </si>
  <si>
    <t>Dates from Antonio et al. 2019. Same source but different dates in https://indo-european.eu/ancient-dna/ (accessed 10 August 2022).</t>
  </si>
  <si>
    <t>BOT.1.SG</t>
  </si>
  <si>
    <t>Los Botijos</t>
  </si>
  <si>
    <t>Fraser et al. 2018</t>
  </si>
  <si>
    <t>Ansarve dolmen</t>
  </si>
  <si>
    <t>T2b8</t>
  </si>
  <si>
    <t>J1c8a</t>
  </si>
  <si>
    <t>K2b1a</t>
  </si>
  <si>
    <t>H7d</t>
  </si>
  <si>
    <t>ans005</t>
  </si>
  <si>
    <t>ans003</t>
  </si>
  <si>
    <t>ans008</t>
  </si>
  <si>
    <t>ans014</t>
  </si>
  <si>
    <t>ans017</t>
  </si>
  <si>
    <t>ans006</t>
  </si>
  <si>
    <t>ans007</t>
  </si>
  <si>
    <t>ans009</t>
  </si>
  <si>
    <t>ans016</t>
  </si>
  <si>
    <t>Lat. &amp; long. from https://indo-european.eu/ancient-dna/ (accessed 10 August 2022).</t>
  </si>
  <si>
    <t>Gokhem5</t>
  </si>
  <si>
    <t>Gokhem2</t>
  </si>
  <si>
    <t>ros005</t>
  </si>
  <si>
    <t>ros003</t>
  </si>
  <si>
    <t>ros 5</t>
  </si>
  <si>
    <t>ros 3</t>
  </si>
  <si>
    <t xml:space="preserve">Ansarve 5 </t>
  </si>
  <si>
    <t>Ansarve 3</t>
  </si>
  <si>
    <t xml:space="preserve">Ansarve 8 </t>
  </si>
  <si>
    <t>Ansarve 14</t>
  </si>
  <si>
    <t>Ansarve 17</t>
  </si>
  <si>
    <t>Ansarve 6</t>
  </si>
  <si>
    <t>Ansarve 7</t>
  </si>
  <si>
    <t xml:space="preserve">Ansarve 9 </t>
  </si>
  <si>
    <t>Ansarve 16</t>
  </si>
  <si>
    <t>Malmström et al. 2015 *</t>
  </si>
  <si>
    <t>Malmström et al. 2019 *</t>
  </si>
  <si>
    <t>* Battle Axe Culture (BAC) individuals in Malmström et al. (2015, 2019) are not included. BAC is the name for the Corded Ware Culture (CWC) in Sweden. The CWC is thought to have originated from the westward migration of Yamnaya-related people.</t>
  </si>
  <si>
    <t>EN I, TRB (Funnel Beaker Culture)</t>
  </si>
  <si>
    <t>Mittink et al. 2018</t>
  </si>
  <si>
    <t>Saxtorp462T</t>
  </si>
  <si>
    <t>Saxtorp4815</t>
  </si>
  <si>
    <t xml:space="preserve">Saxtorp389 </t>
  </si>
  <si>
    <r>
      <t xml:space="preserve">Hofmanová, Z. </t>
    </r>
    <r>
      <rPr>
        <i/>
        <sz val="11"/>
        <color theme="1"/>
        <rFont val="Calibri"/>
        <family val="2"/>
        <scheme val="minor"/>
      </rPr>
      <t>et al.</t>
    </r>
    <r>
      <rPr>
        <sz val="11"/>
        <color theme="1"/>
        <rFont val="Calibri"/>
        <family val="2"/>
        <scheme val="minor"/>
      </rPr>
      <t xml:space="preserve"> Early farmers from across Europe directly descended from Neolithic Aegeans. </t>
    </r>
    <r>
      <rPr>
        <i/>
        <sz val="11"/>
        <color theme="1"/>
        <rFont val="Calibri"/>
        <family val="2"/>
        <scheme val="minor"/>
      </rPr>
      <t>Proc. Natl. Acad. Sci. U.S.A.</t>
    </r>
    <r>
      <rPr>
        <sz val="11"/>
        <color theme="1"/>
        <rFont val="Calibri"/>
        <family val="2"/>
        <scheme val="minor"/>
      </rPr>
      <t xml:space="preserve"> </t>
    </r>
    <r>
      <rPr>
        <b/>
        <sz val="11"/>
        <color theme="1"/>
        <rFont val="Calibri"/>
        <family val="2"/>
        <scheme val="minor"/>
      </rPr>
      <t>113</t>
    </r>
    <r>
      <rPr>
        <sz val="11"/>
        <color theme="1"/>
        <rFont val="Calibri"/>
        <family val="2"/>
        <scheme val="minor"/>
      </rPr>
      <t>, 6886-6891 (2016). Dates and haplogroups appear in Table 1 (main paper) and Dataset S1.</t>
    </r>
  </si>
  <si>
    <r>
      <t xml:space="preserve">mtDNA haplogroup: K1a2 in Blöcher, PhD thesis 2019, p.21; X2m2 in Hofmanová, PhD thesis 2016, p. 45; X2m in Hofmanová et al. 2016 and Behnamian et al., Cell Rep. Meth. </t>
    </r>
    <r>
      <rPr>
        <b/>
        <sz val="8"/>
        <color theme="1"/>
        <rFont val="Calibri"/>
        <family val="2"/>
        <scheme val="minor"/>
      </rPr>
      <t xml:space="preserve">2 </t>
    </r>
    <r>
      <rPr>
        <sz val="8"/>
        <color theme="1"/>
        <rFont val="Calibri"/>
        <family val="2"/>
        <scheme val="minor"/>
      </rPr>
      <t>(8), 100270 (2022), table S1A.</t>
    </r>
  </si>
  <si>
    <t>Hofmanová et al. 2016; Blöcher 2019</t>
  </si>
  <si>
    <t xml:space="preserve">T4 </t>
  </si>
  <si>
    <t>SSK15</t>
  </si>
  <si>
    <t>BAR26</t>
  </si>
  <si>
    <t>M10-76</t>
  </si>
  <si>
    <t>M15</t>
  </si>
  <si>
    <t>M24</t>
  </si>
  <si>
    <t>UA JK 16</t>
  </si>
  <si>
    <t>BAR2</t>
  </si>
  <si>
    <t>L11-213</t>
  </si>
  <si>
    <t xml:space="preserve">BAR6 </t>
  </si>
  <si>
    <t>L11-439</t>
  </si>
  <si>
    <t xml:space="preserve">BAR271 </t>
  </si>
  <si>
    <t>M10-271</t>
  </si>
  <si>
    <t>BAR99</t>
  </si>
  <si>
    <t>M10-352</t>
  </si>
  <si>
    <t>T1</t>
  </si>
  <si>
    <t>M229 / UH</t>
  </si>
  <si>
    <t>M15.2, M15.2, UF</t>
  </si>
  <si>
    <t>Anatolia_NC (Neolithic Ceramic)</t>
  </si>
  <si>
    <t>Y-DNA haplogroup</t>
  </si>
  <si>
    <t>BAR20</t>
  </si>
  <si>
    <t>UP</t>
  </si>
  <si>
    <t xml:space="preserve">T2 </t>
  </si>
  <si>
    <t>Blank et al. 2021</t>
  </si>
  <si>
    <r>
      <t>Blank, M., Sjögren, KG., Knipper, C. et al. Mobility patterns in inland southwestern Sweden during the Neolithic and Early Bronze Age.</t>
    </r>
    <r>
      <rPr>
        <i/>
        <sz val="12"/>
        <color theme="1"/>
        <rFont val="Calibri"/>
        <family val="2"/>
        <scheme val="minor"/>
      </rPr>
      <t xml:space="preserve"> Archaeol Anthropol Sci</t>
    </r>
    <r>
      <rPr>
        <sz val="12"/>
        <color theme="1"/>
        <rFont val="Calibri"/>
        <family val="2"/>
        <scheme val="minor"/>
      </rPr>
      <t xml:space="preserve"> </t>
    </r>
    <r>
      <rPr>
        <b/>
        <sz val="12"/>
        <color theme="1"/>
        <rFont val="Calibri"/>
        <family val="2"/>
        <scheme val="minor"/>
      </rPr>
      <t>13</t>
    </r>
    <r>
      <rPr>
        <sz val="12"/>
        <color theme="1"/>
        <rFont val="Calibri"/>
        <family val="2"/>
        <scheme val="minor"/>
      </rPr>
      <t>, 64 (2021).</t>
    </r>
  </si>
  <si>
    <t>Blinningsberg</t>
  </si>
  <si>
    <t>MNA</t>
  </si>
  <si>
    <t>FB1</t>
  </si>
  <si>
    <t>Ros016</t>
  </si>
  <si>
    <t>Ros018</t>
  </si>
  <si>
    <t>Ros021</t>
  </si>
  <si>
    <t>Ros024</t>
  </si>
  <si>
    <t>Ros026</t>
  </si>
  <si>
    <t>Ros027</t>
  </si>
  <si>
    <t>Ros029</t>
  </si>
  <si>
    <t>Ros033</t>
  </si>
  <si>
    <t>K1e1</t>
  </si>
  <si>
    <t>MNA/MNB</t>
  </si>
  <si>
    <t>Ros001</t>
  </si>
  <si>
    <t>Ros002</t>
  </si>
  <si>
    <t>Ros007</t>
  </si>
  <si>
    <t>Ros008</t>
  </si>
  <si>
    <t>Rössberga, Valtorp 2:1</t>
  </si>
  <si>
    <t>Rössberga, Valtorp 2:2</t>
  </si>
  <si>
    <t>Rössberga, Valtorp 2:3</t>
  </si>
  <si>
    <t>Rössberga, Valtorp 2:4</t>
  </si>
  <si>
    <t>Ros014</t>
  </si>
  <si>
    <t>Ros023</t>
  </si>
  <si>
    <t>Ros025</t>
  </si>
  <si>
    <t>Gokhem4, KG23, bid. 4238, JQ, Gok4</t>
  </si>
  <si>
    <t>Gokhem7, KG26, bid. 5346, Gok7</t>
  </si>
  <si>
    <t>Yaka et al. 2021</t>
  </si>
  <si>
    <t>Çatalhöyük</t>
  </si>
  <si>
    <t>Aşıklı Höyük</t>
  </si>
  <si>
    <t>Ash033</t>
  </si>
  <si>
    <t>Lat. &amp; long. from  https://indo-european.eu/ancient-dna/ (accessed 10 August 2022).</t>
  </si>
  <si>
    <t>cth006</t>
  </si>
  <si>
    <t>Ash002</t>
  </si>
  <si>
    <t>Ash040</t>
  </si>
  <si>
    <t>Ash128</t>
  </si>
  <si>
    <t>Ash129</t>
  </si>
  <si>
    <t>Ash131</t>
  </si>
  <si>
    <t>Ash133</t>
  </si>
  <si>
    <t>Ash136</t>
  </si>
  <si>
    <t>U3a</t>
  </si>
  <si>
    <t>cth728</t>
  </si>
  <si>
    <t>cth842</t>
  </si>
  <si>
    <t>cth747</t>
  </si>
  <si>
    <t>pch034</t>
  </si>
  <si>
    <t>CCH144</t>
  </si>
  <si>
    <t>CCH285</t>
  </si>
  <si>
    <t>CCH163</t>
  </si>
  <si>
    <t>CCH289</t>
  </si>
  <si>
    <t>CCH290</t>
  </si>
  <si>
    <t>CCH294</t>
  </si>
  <si>
    <t>cth739</t>
  </si>
  <si>
    <t>cth217</t>
  </si>
  <si>
    <t>T2c1a</t>
  </si>
  <si>
    <t>H2a2a1d</t>
  </si>
  <si>
    <t>K1a17</t>
  </si>
  <si>
    <t>CCH3111</t>
  </si>
  <si>
    <t>H3a1</t>
  </si>
  <si>
    <t>No date reported for this individual. We use the average date for other individuals at this site reported by Yaka et al. 2021.</t>
  </si>
  <si>
    <t>Chyleński et al. 2019</t>
  </si>
  <si>
    <t>U3b</t>
  </si>
  <si>
    <t>W1c</t>
  </si>
  <si>
    <t>H+73</t>
  </si>
  <si>
    <t>AKT6</t>
  </si>
  <si>
    <t>Hofmanová et al. 2022</t>
  </si>
  <si>
    <t>T2b2b</t>
  </si>
  <si>
    <t>AKT17</t>
  </si>
  <si>
    <t>Hofmanová, Z. et al. Between fishing and farming: palaeogenomic analyses reveal cross-cultural interactions triggered by the arrival of the Neolithic in the Danube Gorges. bioRxiv preprint (2022). Table 1 and Supp. Data 1.</t>
  </si>
  <si>
    <t>mt haplogroup: J2a in Hofmanova 2022, table 1; J2b1 in same reference, Supp. Data 1; J2b in Blöcher 2019.</t>
  </si>
  <si>
    <t>AKT26</t>
  </si>
  <si>
    <t>AKT18</t>
  </si>
  <si>
    <t>AKT20</t>
  </si>
  <si>
    <t>Bar3</t>
  </si>
  <si>
    <t>Bar4</t>
  </si>
  <si>
    <t>Bar7</t>
  </si>
  <si>
    <t>Bar13</t>
  </si>
  <si>
    <t>Bar14</t>
  </si>
  <si>
    <t>U8b1</t>
  </si>
  <si>
    <t>J1b9</t>
  </si>
  <si>
    <t>Blöcher 2019, Hofmanová et al. 2022</t>
  </si>
  <si>
    <t>Mathieson et al. 2015, Hofmanová et al. 2022</t>
  </si>
  <si>
    <t>I0708. mt haplogroup from Hofamová et al. 2022, Supp. Data 1. Mathieson et al. 2015: mt haplogroup N1b1a, Y haplogroup J2a.</t>
  </si>
  <si>
    <t>M13-170</t>
  </si>
  <si>
    <t>I0709. Dates, mt haplogroup and sex from Hofamová et al. 2022. Blöcher 2019, p.21: mt haplogroup W, female. Mathieson et al. 2015: mt haplogroup U3, Y haplogroup H2.</t>
  </si>
  <si>
    <t>LEPE1</t>
  </si>
  <si>
    <t>LEPE2</t>
  </si>
  <si>
    <t>LEPE3</t>
  </si>
  <si>
    <t>LEPE6</t>
  </si>
  <si>
    <t>LEPE7</t>
  </si>
  <si>
    <t>LEPE11</t>
  </si>
  <si>
    <t>LEPE12</t>
  </si>
  <si>
    <t>LEPE13</t>
  </si>
  <si>
    <t>LEPE15</t>
  </si>
  <si>
    <t>LEPE17</t>
  </si>
  <si>
    <t>LEPE20</t>
  </si>
  <si>
    <t>LEPE22</t>
  </si>
  <si>
    <t>LEPE23</t>
  </si>
  <si>
    <t>LEPE27</t>
  </si>
  <si>
    <t>LEPE28</t>
  </si>
  <si>
    <t>LEPE29</t>
  </si>
  <si>
    <t>LEPE32</t>
  </si>
  <si>
    <t>LEPE34</t>
  </si>
  <si>
    <t>LEPE37</t>
  </si>
  <si>
    <t>LEPE38</t>
  </si>
  <si>
    <t>LEPE41</t>
  </si>
  <si>
    <t>LEPE42</t>
  </si>
  <si>
    <t>LEPE44</t>
  </si>
  <si>
    <t>LEPE46</t>
  </si>
  <si>
    <t>LEPE47</t>
  </si>
  <si>
    <t>LEPE49</t>
  </si>
  <si>
    <t>T1a4</t>
  </si>
  <si>
    <t>Marchi et al. 2022, Hofmanová et al. 2022</t>
  </si>
  <si>
    <t>OSCO2</t>
  </si>
  <si>
    <t>OSCO5</t>
  </si>
  <si>
    <t>OSCO6</t>
  </si>
  <si>
    <t>OSCO7</t>
  </si>
  <si>
    <t>There are Neolithic and Mesolithic layers at this site (Roksandic, PhD thesis, 1999, https://www.academia.edu/download/4546963/RoksandicPhD.pdf., cited by Hofmanová et al. 2022).</t>
  </si>
  <si>
    <t>I3a</t>
  </si>
  <si>
    <t>PAD11</t>
  </si>
  <si>
    <t>Hofmanová et al. 2022: date 5812 + - 119 cal BCE, mt haplogroup H2a. Blöcher 2019: mt haplogroup U4a2. Within the time interval of the Early/Middle Neolithic (5950-5500 cal BCE) according to Boric, quoted by Mathieson 2018, SI p. 33</t>
  </si>
  <si>
    <t>Sultana Malu Rosu</t>
  </si>
  <si>
    <t>SMR1</t>
  </si>
  <si>
    <t>SM2</t>
  </si>
  <si>
    <t>Skull  1</t>
  </si>
  <si>
    <t>Skull 1</t>
  </si>
  <si>
    <t>VC1</t>
  </si>
  <si>
    <t>VC2</t>
  </si>
  <si>
    <t>VC3</t>
  </si>
  <si>
    <t>VC4</t>
  </si>
  <si>
    <t>VC5</t>
  </si>
  <si>
    <t>VC6</t>
  </si>
  <si>
    <t>VC8</t>
  </si>
  <si>
    <t>VC10</t>
  </si>
  <si>
    <t>VLASA1</t>
  </si>
  <si>
    <t>VLASA2</t>
  </si>
  <si>
    <t>VLASA20</t>
  </si>
  <si>
    <t>VLASA30</t>
  </si>
  <si>
    <t>VLASA47</t>
  </si>
  <si>
    <t>VLASA48</t>
  </si>
  <si>
    <t>VLASA54</t>
  </si>
  <si>
    <t>VLASA56</t>
  </si>
  <si>
    <t>VLASA61</t>
  </si>
  <si>
    <t>X2m'n</t>
  </si>
  <si>
    <t>U5a1c2a</t>
  </si>
  <si>
    <t>VLASA16</t>
  </si>
  <si>
    <t>Dates 6396-6241 (mean 6319 cal BC) and mt haplogroup X2m2 in Blöcher 2019.</t>
  </si>
  <si>
    <t>TEN (Transformational/early Neolithic)</t>
  </si>
  <si>
    <t>TEN</t>
  </si>
  <si>
    <t>Blöcher2019, Hofmanová et al. 2022</t>
  </si>
  <si>
    <t>Within the time interval of the Mesolithic (9,500-6,150 cal BCE) according to Porcic, as quoted by Mathieson 2018, SI p. 33</t>
  </si>
  <si>
    <t>Hofmanová et al. 2017</t>
  </si>
  <si>
    <t>U5 in Blöcher 2019. Within the time interval of the Mesolithic (9,500-6,150 cal BCE) according to Porcic, as quoted by Mathieson 2018, SI p. 33</t>
  </si>
  <si>
    <t>Hofmanová et al. 2017, Blöcher2019, Hofmanová et al. 2022</t>
  </si>
  <si>
    <t>Blöcher2019, Marchi et al. 2022, Hofmanová et al. 2022</t>
  </si>
  <si>
    <t>BollonginoScience2013, Blöcher 2019, Hofmanová et al. 2022</t>
  </si>
  <si>
    <t>Fre3</t>
  </si>
  <si>
    <t>Groß Fredenwalde</t>
  </si>
  <si>
    <t>Große Ofnethöhle</t>
  </si>
  <si>
    <t>GrO1</t>
  </si>
  <si>
    <t>T2b123b</t>
  </si>
  <si>
    <t>Blöcher 2019, Marchi et al. 2022, Hofmanová et al. 2022</t>
  </si>
  <si>
    <t>Blöcher 2019: mt haplogroup N1a1a1.</t>
  </si>
  <si>
    <t>Blöcher 2019: mt haplogroup T2b.</t>
  </si>
  <si>
    <t>Haak et al. 2005 and Bramanti et al. 2009: mt haplogroup H*.</t>
  </si>
  <si>
    <t>Dates from Hofmanová et al. 2022.</t>
  </si>
  <si>
    <t>Herx2</t>
  </si>
  <si>
    <t>Herx3</t>
  </si>
  <si>
    <t>Herx4</t>
  </si>
  <si>
    <t>Dates from Hofmanová et al. 2022 (mean) and https://indo-european.eu/ancient-dna/ (accessed 10 August 2022).</t>
  </si>
  <si>
    <t>Herx5</t>
  </si>
  <si>
    <t>Herx7</t>
  </si>
  <si>
    <t>Herx8</t>
  </si>
  <si>
    <t>Herx9</t>
  </si>
  <si>
    <t>Herx6</t>
  </si>
  <si>
    <t>7034-12. Dates from https://indo-european.eu/ancient-dna/ (accessed 10 August 2022).</t>
  </si>
  <si>
    <t>Altınışık et al. 2022</t>
  </si>
  <si>
    <t>Fernandez et al. 2014 *</t>
  </si>
  <si>
    <t>Çayönü</t>
  </si>
  <si>
    <t>Blöcher, J. Genetic variation related to the adaptation of humans to an agriculturalist lifestyle (2019). PhD thesis. Johannes Gutenberg-Universität Mainz.</t>
  </si>
  <si>
    <t>T2g</t>
  </si>
  <si>
    <t>cay007</t>
  </si>
  <si>
    <t>cay008</t>
  </si>
  <si>
    <t>cay013</t>
  </si>
  <si>
    <t>cay016</t>
  </si>
  <si>
    <t>cay020</t>
  </si>
  <si>
    <t>cay018</t>
  </si>
  <si>
    <t>cay004</t>
  </si>
  <si>
    <t>Altınışık et al. 2022 **</t>
  </si>
  <si>
    <t>PPNA/PPNB</t>
  </si>
  <si>
    <t>Cay1820. Dates were not reported for this individual. The average of the 5 dates above for the same site has been used.</t>
  </si>
  <si>
    <t>* Maróti et al. 2002 report individuals 2049Bolzano (HGO-26) and 2047Bolzano (VM-33) but they are not included because they are classified as Hungary_Tisza_LN (Late Neolithic) and dated about 4,750 cal BCE (4,500-5,000 cal BCE), thus clearly younger than the rest.</t>
  </si>
  <si>
    <t>The preprint of Yu et al. 2022 is van de Loosdrecht et al., bioRxiv, 2020.</t>
  </si>
  <si>
    <t>I15705</t>
  </si>
  <si>
    <t>Podgorie (Southeast, Korça Basin)</t>
  </si>
  <si>
    <t>Albania</t>
  </si>
  <si>
    <t>Lazaridis et al. 2022</t>
  </si>
  <si>
    <r>
      <t xml:space="preserve">Lazaridis, I., et al., Ancient DNA from Mesopotamia suggests distinct Pre-Pottery and Pottery Neolithic migrations into Anatolia. </t>
    </r>
    <r>
      <rPr>
        <i/>
        <sz val="11"/>
        <color theme="1"/>
        <rFont val="Calibri"/>
        <family val="2"/>
        <scheme val="minor"/>
      </rPr>
      <t xml:space="preserve">Science </t>
    </r>
    <r>
      <rPr>
        <b/>
        <sz val="11"/>
        <color theme="1"/>
        <rFont val="Calibri"/>
        <family val="2"/>
        <scheme val="minor"/>
      </rPr>
      <t>377</t>
    </r>
    <r>
      <rPr>
        <sz val="11"/>
        <color theme="1"/>
        <rFont val="Calibri"/>
        <family val="2"/>
        <scheme val="minor"/>
      </rPr>
      <t>, 982–987 (2022), Data S1.</t>
    </r>
  </si>
  <si>
    <t>LBK380. ID, lat., long. &amp; dates from Lipson et al. 2017.</t>
  </si>
  <si>
    <t>I17981</t>
  </si>
  <si>
    <t>I11134</t>
  </si>
  <si>
    <t>I11270</t>
  </si>
  <si>
    <t>I11135</t>
  </si>
  <si>
    <t>I6354</t>
  </si>
  <si>
    <t>Malak Preslavets</t>
  </si>
  <si>
    <t>Yabalkovo (Dimitrovgrad, Haskovo)</t>
  </si>
  <si>
    <t>Dzhulyunitsa (Veliko Tarnovo)</t>
  </si>
  <si>
    <t>Ohoden (Vratsa)</t>
  </si>
  <si>
    <t>BGR_MalakPreslavets_N</t>
  </si>
  <si>
    <t>BGR_Yabalkovo_N</t>
  </si>
  <si>
    <t>BGR_Dzhulyunitsa_N</t>
  </si>
  <si>
    <t>BGR_Ohoden_N</t>
  </si>
  <si>
    <t>W6</t>
  </si>
  <si>
    <t>P1</t>
  </si>
  <si>
    <t>G2a2a1a2</t>
  </si>
  <si>
    <t>C1a2a</t>
  </si>
  <si>
    <t>IJ</t>
  </si>
  <si>
    <t>I7399</t>
  </si>
  <si>
    <t>I7398</t>
  </si>
  <si>
    <t>I7538</t>
  </si>
  <si>
    <t>Vinkovci, Vinka</t>
  </si>
  <si>
    <t>H84</t>
  </si>
  <si>
    <t>HRV_Vinkovci_MN</t>
  </si>
  <si>
    <t>Kissonerga-Mylouthkia</t>
  </si>
  <si>
    <t>Cyprus</t>
  </si>
  <si>
    <t>I4210</t>
  </si>
  <si>
    <t>I4209</t>
  </si>
  <si>
    <t>Lazaridis et al. 2022 *</t>
  </si>
  <si>
    <t>* Lazaridis et al. 2022 report an additional individual (I4207) with Y-haplogroup H but not mt-DNA haplogroup.</t>
  </si>
  <si>
    <t>Nemrik 9</t>
  </si>
  <si>
    <t>I6457</t>
  </si>
  <si>
    <t>I6445</t>
  </si>
  <si>
    <t>U1a1</t>
  </si>
  <si>
    <t>J1d</t>
  </si>
  <si>
    <t>N1a1b</t>
  </si>
  <si>
    <t>PPN</t>
  </si>
  <si>
    <t>Middle PPNB (pre-pottery Neolihtic B)</t>
  </si>
  <si>
    <t>PPN (pre-pottery Neolihtic)</t>
  </si>
  <si>
    <t>PPNB (pre-pottery Neolihtic B)</t>
  </si>
  <si>
    <t>I17835</t>
  </si>
  <si>
    <t>I6184</t>
  </si>
  <si>
    <t>I7126</t>
  </si>
  <si>
    <t>I6663</t>
  </si>
  <si>
    <t>I6662</t>
  </si>
  <si>
    <t>I0739</t>
  </si>
  <si>
    <t>Cârcea, Viaduct</t>
  </si>
  <si>
    <t>Trestiana</t>
  </si>
  <si>
    <t>Urziceni</t>
  </si>
  <si>
    <t>Gârlești</t>
  </si>
  <si>
    <t>Muntenia, Vasilai, Cilira, Popesti-Vasilati</t>
  </si>
  <si>
    <t>H15a1a1</t>
  </si>
  <si>
    <t>R1a1a1</t>
  </si>
  <si>
    <t>G2a2b2b2</t>
  </si>
  <si>
    <t>G2a2a1a2a2a1</t>
  </si>
  <si>
    <t>I8432</t>
  </si>
  <si>
    <t>I11949</t>
  </si>
  <si>
    <t>I3121</t>
  </si>
  <si>
    <t>I1510</t>
  </si>
  <si>
    <t>J1 or J1c</t>
  </si>
  <si>
    <t>G2a2a2b</t>
  </si>
  <si>
    <t>No date reported for this individual. We use the average of the dates above for other individuals from this site by Blöcher 2019, Marchi et al. 2022 and Hofmanová et al. 2022.</t>
  </si>
  <si>
    <t>No date reported for this individual. We use the average of the dates above for other individuals from this site by Hofmanová et al. 2016 and  Marchi et al. 2022.</t>
  </si>
  <si>
    <t>SE Turkey</t>
  </si>
  <si>
    <t>NW Turkey</t>
  </si>
  <si>
    <t>Barcın (Marmara region)</t>
  </si>
  <si>
    <t>Menteşe (Marmara region, Yenişehir)</t>
  </si>
  <si>
    <t xml:space="preserve">Ilıpınar (Marmara region, Bursa, Orhangazi) </t>
  </si>
  <si>
    <t>Barcin (Marmara region)</t>
  </si>
  <si>
    <t>Boncuklu Tarla (Mardin, Dargeçit, Ilısu)</t>
  </si>
  <si>
    <t>N Syria</t>
  </si>
  <si>
    <t>E Turkey</t>
  </si>
  <si>
    <t>N Iraq</t>
  </si>
  <si>
    <t>C Turkey</t>
  </si>
  <si>
    <t>Lazaridis et al. 2022 ***</t>
  </si>
  <si>
    <t>Individual reported in the bioRxiv preprint (table S4.1 in SI Appendix, p. 27) but not in the final publication (Fregel et al. 2018). Lat., long. &amp; dates from https://indo-european.eu/ancient-dna/ (accessed 10 August 2022).</t>
  </si>
  <si>
    <t>Maróti et al. 2022 *</t>
  </si>
  <si>
    <t>* Lazaridis et al. 2022 report Y haplogroup IJ for individual I18827 but no mt-DNA haplogroup.</t>
  </si>
  <si>
    <t>LGCS1 in Szécsényi-Nagy et al. 2015.</t>
  </si>
  <si>
    <t>BAM 17. BAM17 in Szécsényi-Nagy et al. 2015.</t>
  </si>
  <si>
    <t>BAM04, BAM 04, BAM 4. BAM4 in Szécsényi-Nagy et al. 2015.</t>
  </si>
  <si>
    <t>Hofmanová et al. 2016 ‡</t>
  </si>
  <si>
    <t>Kilinç et al. 2016 &amp; 2017</t>
  </si>
  <si>
    <t>LBK_HBS</t>
  </si>
  <si>
    <t>N. Macedonia</t>
  </si>
  <si>
    <t>Within the time interval of the Early/Middle Neolithic (5950-5500 cal BCE) according to Boric, quoted by Mathieson 2018, SI, p. 33</t>
  </si>
  <si>
    <t xml:space="preserve">Hervella et al. 2015 also includes middle-Neolithic individuals (4500-5500 cal BCE). </t>
  </si>
  <si>
    <r>
      <t>Lat. &amp; long. from Tafani et al.,</t>
    </r>
    <r>
      <rPr>
        <i/>
        <sz val="8"/>
        <rFont val="Calibri"/>
        <family val="2"/>
        <scheme val="minor"/>
      </rPr>
      <t xml:space="preserve"> Data in Brief </t>
    </r>
    <r>
      <rPr>
        <b/>
        <sz val="8"/>
        <rFont val="Calibri"/>
        <family val="2"/>
        <scheme val="minor"/>
      </rPr>
      <t>42</t>
    </r>
    <r>
      <rPr>
        <sz val="8"/>
        <rFont val="Calibri"/>
        <family val="2"/>
        <scheme val="minor"/>
      </rPr>
      <t>, 108114 (2022).</t>
    </r>
  </si>
  <si>
    <r>
      <t xml:space="preserve">Lat. &amp; long. from Lazar, et al., </t>
    </r>
    <r>
      <rPr>
        <i/>
        <sz val="8"/>
        <color theme="1"/>
        <rFont val="Calibri"/>
        <family val="2"/>
        <scheme val="minor"/>
      </rPr>
      <t>Studii de Preistorie</t>
    </r>
    <r>
      <rPr>
        <sz val="8"/>
        <color theme="1"/>
        <rFont val="Calibri"/>
        <family val="2"/>
        <scheme val="minor"/>
      </rPr>
      <t xml:space="preserve"> </t>
    </r>
    <r>
      <rPr>
        <b/>
        <sz val="8"/>
        <color theme="1"/>
        <rFont val="Calibri"/>
        <family val="2"/>
        <scheme val="minor"/>
      </rPr>
      <t>6</t>
    </r>
    <r>
      <rPr>
        <sz val="8"/>
        <color theme="1"/>
        <rFont val="Calibri"/>
        <family val="2"/>
        <scheme val="minor"/>
      </rPr>
      <t>, 165-199 (2009).</t>
    </r>
  </si>
  <si>
    <r>
      <t xml:space="preserve">There are Middle Eneolithic layers at this site, from 4500 to 4000 BC, i.e. about 2,000 yr after the early Neolithic (6600 to 5500 BC). See Tafani et al., </t>
    </r>
    <r>
      <rPr>
        <i/>
        <sz val="8"/>
        <color theme="1"/>
        <rFont val="Calibri"/>
        <family val="2"/>
        <scheme val="minor"/>
      </rPr>
      <t xml:space="preserve">Data in Brief </t>
    </r>
    <r>
      <rPr>
        <b/>
        <sz val="8"/>
        <color theme="1"/>
        <rFont val="Calibri"/>
        <family val="2"/>
        <scheme val="minor"/>
      </rPr>
      <t>42</t>
    </r>
    <r>
      <rPr>
        <sz val="8"/>
        <color theme="1"/>
        <rFont val="Calibri"/>
        <family val="2"/>
        <scheme val="minor"/>
      </rPr>
      <t>, 108114 (2022).</t>
    </r>
  </si>
  <si>
    <r>
      <t xml:space="preserve">There are Eneolithic layers at this site, from 5000 to 4500 BC, i.e. about 1,500 yr after the early Neolithic in this region (6600 to 5500 BC). See Lazar, et al., </t>
    </r>
    <r>
      <rPr>
        <i/>
        <sz val="8"/>
        <color theme="1"/>
        <rFont val="Calibri"/>
        <family val="2"/>
        <scheme val="minor"/>
      </rPr>
      <t>Studii de Preistorie</t>
    </r>
    <r>
      <rPr>
        <sz val="8"/>
        <color theme="1"/>
        <rFont val="Calibri"/>
        <family val="2"/>
        <scheme val="minor"/>
      </rPr>
      <t xml:space="preserve"> </t>
    </r>
    <r>
      <rPr>
        <b/>
        <sz val="8"/>
        <color theme="1"/>
        <rFont val="Calibri"/>
        <family val="2"/>
        <scheme val="minor"/>
      </rPr>
      <t>6</t>
    </r>
    <r>
      <rPr>
        <sz val="8"/>
        <color theme="1"/>
        <rFont val="Calibri"/>
        <family val="2"/>
        <scheme val="minor"/>
      </rPr>
      <t>, 165-199 (2009).</t>
    </r>
  </si>
  <si>
    <t>Shennan 2018</t>
  </si>
  <si>
    <t>Shennan, S. The first farmers of Europe, Cambridge Univ. Press 2018.</t>
  </si>
  <si>
    <t xml:space="preserve">Within the time interval of the Mesolithic/Neolithic transition phase† (6150-5950 cal BCE) according to Boric, quoted by Mathieson 2018, SI, p. 33. </t>
  </si>
  <si>
    <t>N. France</t>
  </si>
  <si>
    <t xml:space="preserve"> Serbia IG</t>
  </si>
  <si>
    <t>Ireland†</t>
  </si>
  <si>
    <t>* Sites in northern France are obviously not relevant to the Mediterranean route, so are they included as a separate group above.</t>
  </si>
  <si>
    <t>* Obviously the North of France is not relevant to the Mediterranean route, so it is included here as a separate group from southern France (the latter appears below).</t>
  </si>
  <si>
    <t>Hofmanová et al. 2022*</t>
  </si>
  <si>
    <t>Bulgaria MP</t>
  </si>
  <si>
    <t>Malak Preslavets* (Bulgaria)</t>
  </si>
  <si>
    <t xml:space="preserve">* Hofmanová et al. 2022 also reported an individual with mt haplogroup H7 from the site of Grivac (lat. 44.00, long. 20.71º according to PLoS ONE 11, e0160832). Apparently no dates neither the archaeological phase were reported, so we cannot assign a date range. </t>
  </si>
  <si>
    <t>† The Mesolithic/Neolithic transition phase at Lepenski Vir was a re-occupation after a period of abandonment of a Mesolithic occupation (Shennan 2018, p. 72-73).</t>
  </si>
  <si>
    <t>N Spain</t>
  </si>
  <si>
    <t>E Spain</t>
  </si>
  <si>
    <t>1 N. Mesopotamia (N. Syria, NW. Iraq &amp; SE. Anatolia)</t>
  </si>
  <si>
    <t>Mathieson et al. 2018 †</t>
  </si>
  <si>
    <t>† Mathieson et al. 2018 reported 4 individuals from the Sopot culture, but they have been excluded because they are substantially more recent than the Early Neolithic.</t>
  </si>
  <si>
    <t>1 Northern Mesopotamia</t>
  </si>
  <si>
    <t>A. PRESUMED REGION OF ORIGIN OF THE NEOLITHIC SPREAD IN EUROPE</t>
  </si>
  <si>
    <t>B. INLAND NEOLITHIC ROUTE</t>
  </si>
  <si>
    <t>C. MEDITERRANEAN NEOLITHIC ROUTE</t>
  </si>
  <si>
    <t>D. REGIONS NOT CONSIDERED IN OUR ANALYSIS</t>
  </si>
  <si>
    <t>Iron Gates gorge * (Serbia)</t>
  </si>
  <si>
    <t>Neolithic or Mesolithic? **</t>
  </si>
  <si>
    <t>2 Central Anatolia</t>
  </si>
  <si>
    <t>3 Western Anatolia</t>
  </si>
  <si>
    <t>4 Bulgaria (except Malak Preslavets) †</t>
  </si>
  <si>
    <t>4 Bulgaria (except Malak Preslavets†)</t>
  </si>
  <si>
    <t>* Table S1 in Isern et al. (2017) inlcuded a group of 4 individuals in southern Germany, one of them from Lazardis et al. (2014) and three from Haak et al. (2015). They are not included here because the authors of both references for some reason apparently disregarded them in Rivollat et al. (2020).</t>
  </si>
  <si>
    <t>E-MN</t>
  </si>
  <si>
    <t>E-MN (Early-middle Neolithic)</t>
  </si>
  <si>
    <t>† Childebayeva et al., Molec. Biol. Evol. (2022) report geonome-wide data for 32 individuals from Derenburg-Meerenstieg II but state that Haak et al. (2010) had already reported their haplogroups, althouth the IDs are apparently different (DER xxx in Childebayeva et al. 2022 and DEB xx in Haak et al. 2010).</t>
  </si>
  <si>
    <t>DISTANCE CHECK (USING NODES)</t>
  </si>
  <si>
    <t>R(38.40-Long) cos(35.87)       [angles in radians, see Sec. S3-A]</t>
  </si>
  <si>
    <t>R(38.40-Long) cos(Lat)       [angles in radians, see Sec. S3-A]</t>
  </si>
  <si>
    <t>X mean [average of cols. G &amp; H, see Sec. S3-A]</t>
  </si>
  <si>
    <t>Distance to Abu Hureyra (35.87N, 38.40E)         (km)  [Haversine eq. (S8)]</t>
  </si>
  <si>
    <t>Distance to Abu Hureyra (35.87N, 38.40E)      (km)</t>
  </si>
  <si>
    <t>10 Northern France*</t>
  </si>
  <si>
    <t>9 Scandinavia</t>
  </si>
  <si>
    <t>8 Germany LBK *†</t>
  </si>
  <si>
    <t>7 Austria &amp; Czech Republic</t>
  </si>
  <si>
    <t>6 Hungary</t>
  </si>
  <si>
    <t>5 Romania and  Serbia (except Iron Gates†)</t>
  </si>
  <si>
    <t>8 Germany LBK</t>
  </si>
  <si>
    <t>10 Northern France</t>
  </si>
  <si>
    <t>Generations from 8718 years BCE ***</t>
  </si>
  <si>
    <t>Number of Y Nodes     (d = 70km)</t>
  </si>
  <si>
    <t>Number of X Nodes      (d = 70km)</t>
  </si>
  <si>
    <t>SELECTED INTEGER Number of  Y Nodes    (d = 70km)</t>
  </si>
  <si>
    <t>SELECTED INTEGER Number of  X Nodes      (d = 70km)</t>
  </si>
  <si>
    <t>SELECTED INTEGER Number of Y Nodes      (d = 50km)</t>
  </si>
  <si>
    <t>SELECTED INTEGER Number of X Nodes      (d = 50km)</t>
  </si>
  <si>
    <t>14 Southern France</t>
  </si>
  <si>
    <t>15 Spain</t>
  </si>
  <si>
    <t>16 Portugal</t>
  </si>
  <si>
    <t>12 Croatia</t>
  </si>
  <si>
    <t>13 Italy</t>
  </si>
  <si>
    <t>11 Greece and North Macedonia</t>
  </si>
  <si>
    <t xml:space="preserve">12 Croatia </t>
  </si>
  <si>
    <t>14 southern France*</t>
  </si>
  <si>
    <t>** Altınışık et al. 2022 report Y-haplogroup C2e1a1a for individual cay012, but not his mt haplogroup. Indiviuals with &lt;15% breadth of coverage are not assigned to any haplogroup except individual cay014, for which they write: 'mtDNA haplogroup K1 (consistent with general population but &lt; 15% breadth of coverage)'.</t>
  </si>
  <si>
    <r>
      <t xml:space="preserve">Brace, S. </t>
    </r>
    <r>
      <rPr>
        <i/>
        <sz val="11"/>
        <color theme="1"/>
        <rFont val="Calibri"/>
        <family val="2"/>
        <scheme val="minor"/>
      </rPr>
      <t>et al.</t>
    </r>
    <r>
      <rPr>
        <sz val="11"/>
        <color theme="1"/>
        <rFont val="Calibri"/>
        <family val="2"/>
        <scheme val="minor"/>
      </rPr>
      <t xml:space="preserve"> Ancient genomes indicate population replacement in Early Neolithic Britain. </t>
    </r>
    <r>
      <rPr>
        <i/>
        <sz val="11"/>
        <color theme="1"/>
        <rFont val="Calibri"/>
        <family val="2"/>
        <scheme val="minor"/>
      </rPr>
      <t>Nature Ecology &amp; Evolution</t>
    </r>
    <r>
      <rPr>
        <sz val="11"/>
        <color theme="1"/>
        <rFont val="Calibri"/>
        <family val="2"/>
        <scheme val="minor"/>
      </rPr>
      <t xml:space="preserve">. </t>
    </r>
    <r>
      <rPr>
        <b/>
        <sz val="11"/>
        <color theme="1"/>
        <rFont val="Calibri"/>
        <family val="2"/>
        <scheme val="minor"/>
      </rPr>
      <t>3</t>
    </r>
    <r>
      <rPr>
        <sz val="11"/>
        <color theme="1"/>
        <rFont val="Calibri"/>
        <family val="2"/>
        <scheme val="minor"/>
      </rPr>
      <t>, 765–771 (2019).  Dates appear in Supp. Info. Haplogroups appear in Table S1.</t>
    </r>
  </si>
  <si>
    <t xml:space="preserve"> lower bound (confidence level 80%)</t>
  </si>
  <si>
    <t>upper bound (confidence level 80%)</t>
  </si>
  <si>
    <t>confidence level 80%    + error</t>
  </si>
  <si>
    <t>confidence level 80%            - error</t>
  </si>
  <si>
    <t>% K</t>
  </si>
  <si>
    <t>Jones et al. 2015 (also Fu et al. 2016)</t>
  </si>
  <si>
    <t>Reference (see sheet 'References in Data S1')</t>
  </si>
  <si>
    <t>Reference (see sheet 'References in Data S5')</t>
  </si>
  <si>
    <t>K [1]</t>
  </si>
  <si>
    <t>[1]</t>
  </si>
  <si>
    <t>[2]</t>
  </si>
  <si>
    <t>K1a1 [2]</t>
  </si>
  <si>
    <t xml:space="preserve">[B] Malmer, J. P., The Neolithic of south Sweden: TRB, GRK, and STR, Stockholm: Royal Swedish Academy of Letters, History and Antiquities, 2002. </t>
  </si>
  <si>
    <t>Individuals with mitochondrial haplogroup K are highlighted on yellow background.</t>
  </si>
  <si>
    <t>K1c [3]</t>
  </si>
  <si>
    <t>[3]</t>
  </si>
  <si>
    <t>K3 [10]</t>
  </si>
  <si>
    <t>[10]</t>
  </si>
  <si>
    <r>
      <t xml:space="preserve">[1] Ostorf is a Mesolithic enclave surrounded by farmers of the Funnel-beaker culture. It is also the single site where hunter-gatherers with non-U mtDNA haplogroups were found by Bramanti </t>
    </r>
    <r>
      <rPr>
        <i/>
        <sz val="11"/>
        <color theme="1"/>
        <rFont val="Times New Roman"/>
        <family val="1"/>
      </rPr>
      <t>et al</t>
    </r>
    <r>
      <rPr>
        <sz val="11"/>
        <color theme="1"/>
        <rFont val="Times New Roman"/>
        <family val="1"/>
      </rPr>
      <t xml:space="preserve">. 2009. Hence, it is reasonable to </t>
    </r>
  </si>
  <si>
    <t xml:space="preserve">     consider the possibility that haplogroup K was introduced in Ostorf by interbreeding with farmers. </t>
  </si>
  <si>
    <r>
      <t>[2] The Pitted Ware culture (PWC) overlapped chronologically with farmers during almost a millennium, first of the Funnel-beaker culture (</t>
    </r>
    <r>
      <rPr>
        <i/>
        <sz val="11"/>
        <color theme="1"/>
        <rFont val="Times New Roman"/>
        <family val="1"/>
      </rPr>
      <t>Trichterbecherkultur</t>
    </r>
    <r>
      <rPr>
        <sz val="11"/>
        <color theme="1"/>
        <rFont val="Times New Roman"/>
        <family val="1"/>
      </rPr>
      <t xml:space="preserve">, TRB) and later of the Battle Axe complex, a variant of the Corded Ware  </t>
    </r>
  </si>
  <si>
    <t xml:space="preserve">     culture [A, B]. This is why some authors refer to the PWC as 'Neolithic' hunter-gatherers [C]. Thus it is reasonable to consider the possibility that this small sample of hunter-gatherers with haplogroup K (4 of 32 PWC individuals)</t>
  </si>
  <si>
    <t xml:space="preserve">      is due to interbreeding with contemporaneous farmers living in the same region.</t>
  </si>
  <si>
    <t>K1b2 [11]</t>
  </si>
  <si>
    <t>[11]</t>
  </si>
  <si>
    <t>K1a ?  [12]</t>
  </si>
  <si>
    <t>[12]</t>
  </si>
  <si>
    <r>
      <t xml:space="preserve">[A] Eriksson, G., et al., "Same island, different diet: cultural evolution on food practice on Öland, Sweden, from the Mesolithic to the Roman period", </t>
    </r>
    <r>
      <rPr>
        <i/>
        <sz val="11"/>
        <color theme="1"/>
        <rFont val="Calibri"/>
        <family val="2"/>
        <scheme val="minor"/>
      </rPr>
      <t xml:space="preserve">J. Anthropol. Archaeol., </t>
    </r>
    <r>
      <rPr>
        <sz val="11"/>
        <color theme="1"/>
        <rFont val="Calibri"/>
        <family val="2"/>
        <scheme val="minor"/>
      </rPr>
      <t>vol. 27, pp. 520-543, 2008.</t>
    </r>
  </si>
  <si>
    <r>
      <t xml:space="preserve">[C] Skoglund, P., et al., "Genomic diversity and admixture differs for stone-age Scandinavian foragers and farmers", </t>
    </r>
    <r>
      <rPr>
        <i/>
        <sz val="11"/>
        <color theme="1"/>
        <rFont val="Calibri"/>
        <family val="2"/>
        <scheme val="minor"/>
      </rPr>
      <t xml:space="preserve">Science, </t>
    </r>
    <r>
      <rPr>
        <sz val="11"/>
        <color theme="1"/>
        <rFont val="Calibri"/>
        <family val="2"/>
        <scheme val="minor"/>
      </rPr>
      <t xml:space="preserve">vol. 344, pp. 747-750, 2014. </t>
    </r>
  </si>
  <si>
    <t xml:space="preserve">Russian individuals from Allentoft et al. (2022) not copied here because they are not  in our area of study (Upper Mesopotamia, Anatolia, central and western Europe). </t>
  </si>
  <si>
    <t>[11] This HG is not in our area of study (Upper Mesopotamia, Anatolia, central and western Europe). Moreover, subclade K1b2 has been never found in early European farmers, the only possible exception being individual LEPE28 from Lepenski Vir</t>
  </si>
  <si>
    <t>K1 [4]</t>
  </si>
  <si>
    <t>[4]</t>
  </si>
  <si>
    <t xml:space="preserve">     so its subclade could be due to interbreeding. </t>
  </si>
  <si>
    <t xml:space="preserve">[4] The Neolithic site of Ogradena-Icoana in Romania is dated 6,636-5,924 cal BCE (2σ) [D], which overlaps with the range of this HG, leaving room for the possibility that the first farmers could have arrived before the life of this HG, </t>
  </si>
  <si>
    <t>K1c [4,3]</t>
  </si>
  <si>
    <t>Bramanti, B., Thomas, M. G., Haak, W., Unterländer, M., Jores, P., Tambets, K., ... &amp; Lueth, F. (2009). Genetic discontinuity between local hunter-gatherers and central Europe’s first farmers. Science, 326(5949), 137-140.</t>
  </si>
  <si>
    <t xml:space="preserve">      wave of advance.</t>
  </si>
  <si>
    <t>K1c [13]</t>
  </si>
  <si>
    <t>[13]</t>
  </si>
  <si>
    <t xml:space="preserve">       the subclades of haplogroup K that were introduced into Europe by the Neolithic population wave of advance.</t>
  </si>
  <si>
    <t>K1f [14]</t>
  </si>
  <si>
    <t>[14]</t>
  </si>
  <si>
    <t>Charcoal</t>
  </si>
  <si>
    <t>Failed, context date</t>
  </si>
  <si>
    <t>Originally labelled Vlasac</t>
  </si>
  <si>
    <t>Included in Hofmanová et al. 2022, table 1, but not in Supp. Data 1.</t>
  </si>
  <si>
    <t>[15]</t>
  </si>
  <si>
    <t>K1a [15]</t>
  </si>
  <si>
    <t>Marchi, N., Winkelbach, Schulz, I., Brami, M., Hofmanova, Z., Blocher, J.,... &amp; Excoffier, L. (2020).The genomic origins of the world's first farmers. Cell 184, 1842-1859 (2022), main paper, table 1 and Supp. Table 3.</t>
  </si>
  <si>
    <t>[5]</t>
  </si>
  <si>
    <r>
      <t xml:space="preserve">[D] Betti, L., et al., "Climate shaped how Neolithic farmers and European hunter-gatherers interacted after a major slowdown from 6,100 BCE to 4,500 BCE", </t>
    </r>
    <r>
      <rPr>
        <i/>
        <sz val="11"/>
        <color theme="1"/>
        <rFont val="Calibri"/>
        <family val="2"/>
        <scheme val="minor"/>
      </rPr>
      <t xml:space="preserve">Nature human behaviour, </t>
    </r>
    <r>
      <rPr>
        <sz val="11"/>
        <color theme="1"/>
        <rFont val="Calibri"/>
        <family val="2"/>
        <scheme val="minor"/>
      </rPr>
      <t xml:space="preserve">vol. 4, pp. 1004-1010, 2020. </t>
    </r>
  </si>
  <si>
    <t>[E] Shennan, S. The first farmers of Europe. An evolutionary perspective. Cambridge: Cambridge University Press, 2018, chapter 7.</t>
  </si>
  <si>
    <t>K1e [6]</t>
  </si>
  <si>
    <t>K1e [5]</t>
  </si>
  <si>
    <t>[6]</t>
  </si>
  <si>
    <t>[5] The date of this HG is slightly more recent than those of the first farmers in Denmark, namely c.4,000 BC [E]. Thus, it cannot be excluded that the presence of subclade K1e in this HG is due to interbreeding with farmers.</t>
  </si>
  <si>
    <t>K2b [7]</t>
  </si>
  <si>
    <t>[7]</t>
  </si>
  <si>
    <r>
      <t xml:space="preserve">[F] Pinhasi, R,, Fort, J. &amp; Ammerman, A.J., "Tracing the origin and spread of agriculture in Europe", </t>
    </r>
    <r>
      <rPr>
        <i/>
        <sz val="11"/>
        <color theme="1"/>
        <rFont val="Times New Roman"/>
        <family val="1"/>
      </rPr>
      <t>PLoS Biology,</t>
    </r>
    <r>
      <rPr>
        <sz val="11"/>
        <color theme="1"/>
        <rFont val="Times New Roman"/>
        <family val="1"/>
      </rPr>
      <t xml:space="preserve"> vol. 3, e410, 2220-2228 (2005), Table S1.</t>
    </r>
  </si>
  <si>
    <t xml:space="preserve">     haplogroup K analyzed and modelled by us.</t>
  </si>
  <si>
    <t>K1b1b1 [16]</t>
  </si>
  <si>
    <t>[16]</t>
  </si>
  <si>
    <t>K1+16362 [17]</t>
  </si>
  <si>
    <t>[17]</t>
  </si>
  <si>
    <t>[4,3]</t>
  </si>
  <si>
    <t xml:space="preserve">       und fällt in die mesolithische Phase (5600 v. Chr.) zeigt aber einen mitochondrialen Haplotypen (K1a), welcher –zumindest bislang- als untypisch für mesolithische Populationen gilt. Das Probenmaterial von diesem Individuum war nur für </t>
  </si>
  <si>
    <t xml:space="preserve">       eine Extraktion ausreichend, weshalb die Ergebnisse per se nicht repliziert sind (vgl. Kapitel 4.2.2. und 5.1.3). Eine komplette Verunreinigung des Knochenmaterials während der Bergung kann somit nicht explizit ausgeschlossen werden.'</t>
  </si>
  <si>
    <t xml:space="preserve">[12] This HG is not in our area of study (Upper Mesopotamia, Anatolia, central and western Europe). We have not assigned him/her to haplogroup K1a because Schulz 2015, p. 67 wrote: 'Das Individuum wurde direkt C14-Radiokarbon datiert </t>
  </si>
  <si>
    <t xml:space="preserve">[7] This HG was found in central Anatolia (region 2 in the map in Fig. S1b) and is clearly older than the first farmers in that region [F]. Subclade K2b is also displayed by 7 early farmers in Europe (2 in Sweden, 1 in northern France, 1 in </t>
  </si>
  <si>
    <t>Regions with too few individuals to obtain useful error bars</t>
  </si>
  <si>
    <t xml:space="preserve">      6000 cal BCE, see Ref. [17], Supp. Info, pp. 34-35). Mathieson et al. [17] identified this individual as a genetic outlier and pointed out that a reasonable scenario is interbreeding between the Iron Gates population and a Neolithic one. </t>
  </si>
  <si>
    <t>Totals</t>
  </si>
  <si>
    <r>
      <t>UK (England, Wales and Scotland)</t>
    </r>
    <r>
      <rPr>
        <sz val="8"/>
        <color rgb="FFFF0000"/>
        <rFont val="Calibri"/>
        <family val="2"/>
      </rPr>
      <t>†</t>
    </r>
  </si>
  <si>
    <r>
      <t xml:space="preserve">Yu, H. et al. Genomic and dietary discontinuities during the Mesolithic and Early Neolithic in Sicily.  </t>
    </r>
    <r>
      <rPr>
        <i/>
        <sz val="11"/>
        <color theme="1"/>
        <rFont val="Calibri"/>
        <family val="2"/>
        <scheme val="minor"/>
      </rPr>
      <t xml:space="preserve">iScience </t>
    </r>
    <r>
      <rPr>
        <b/>
        <sz val="11"/>
        <color theme="1"/>
        <rFont val="Calibri"/>
        <family val="2"/>
        <scheme val="minor"/>
      </rPr>
      <t>25</t>
    </r>
    <r>
      <rPr>
        <sz val="11"/>
        <color theme="1"/>
        <rFont val="Calibri"/>
        <family val="2"/>
        <scheme val="minor"/>
      </rPr>
      <t>, 104244 (2022). Dates and haplogroups appear in Supp. Info., table S1.1.</t>
    </r>
  </si>
  <si>
    <r>
      <t>Yaka, R., Mapelli, I., Kaptan, D.,...Götherström, A., Özer, F., &amp; Somel, M. Variable kinship patterns in Neolithic Anatolia revealed by ancient genomes</t>
    </r>
    <r>
      <rPr>
        <i/>
        <sz val="12"/>
        <color theme="1"/>
        <rFont val="Calibri"/>
        <family val="2"/>
        <scheme val="minor"/>
      </rPr>
      <t xml:space="preserve">. Current Biology </t>
    </r>
    <r>
      <rPr>
        <b/>
        <sz val="12"/>
        <color theme="1"/>
        <rFont val="Calibri"/>
        <family val="2"/>
        <scheme val="minor"/>
      </rPr>
      <t>31</t>
    </r>
    <r>
      <rPr>
        <sz val="12"/>
        <color theme="1"/>
        <rFont val="Calibri"/>
        <family val="2"/>
        <scheme val="minor"/>
      </rPr>
      <t>, 1–14 (2021), table 1 (main paper) and p. e1 (Star Methods).</t>
    </r>
  </si>
  <si>
    <t>Allentoft, M. E., Sikora, M., Refoyou-Martínez, A., Irving-Pease, E. K., Fischer, A., ... &amp; Willerslev, E. Population genomics of stone age Eurasia. bioRxiv preprint doi: https://doi.org/10.1101/2022.05.04.490594 (2022), accessed 31/05/2022.</t>
  </si>
  <si>
    <r>
      <t xml:space="preserve">Antonio, M.L. et al. Ancient Rome: A genetic crossroads of Europe and the Mediterranean. </t>
    </r>
    <r>
      <rPr>
        <i/>
        <sz val="11"/>
        <color theme="1"/>
        <rFont val="Calibri"/>
        <family val="2"/>
        <scheme val="minor"/>
      </rPr>
      <t>Science</t>
    </r>
    <r>
      <rPr>
        <b/>
        <sz val="11"/>
        <color theme="1"/>
        <rFont val="Calibri"/>
        <family val="2"/>
        <scheme val="minor"/>
      </rPr>
      <t>366</t>
    </r>
    <r>
      <rPr>
        <sz val="11"/>
        <color theme="1"/>
        <rFont val="Calibri"/>
        <family val="2"/>
        <scheme val="minor"/>
      </rPr>
      <t>, 708–714 (2019). Dates and haplogroups appear in the Supp. Info.</t>
    </r>
  </si>
  <si>
    <r>
      <t>Altınışık, N. E., et al. A genomic snapshot of demographic and cultural dynamism in Upper Mesopotamia during the Neolithic Transition.</t>
    </r>
    <r>
      <rPr>
        <i/>
        <sz val="11"/>
        <color theme="1"/>
        <rFont val="Calibri"/>
        <family val="2"/>
        <scheme val="minor"/>
      </rPr>
      <t xml:space="preserve"> Sci. Adv.</t>
    </r>
    <r>
      <rPr>
        <sz val="11"/>
        <color theme="1"/>
        <rFont val="Calibri"/>
        <family val="2"/>
        <scheme val="minor"/>
      </rPr>
      <t xml:space="preserve"> </t>
    </r>
    <r>
      <rPr>
        <b/>
        <sz val="11"/>
        <color theme="1"/>
        <rFont val="Calibri"/>
        <family val="2"/>
        <scheme val="minor"/>
      </rPr>
      <t>8</t>
    </r>
    <r>
      <rPr>
        <sz val="11"/>
        <color theme="1"/>
        <rFont val="Calibri"/>
        <family val="2"/>
        <scheme val="minor"/>
      </rPr>
      <t>, eabo3609 (2022). Haplogroups from Supp. Table 2. Dates from table 1. Cultures from table S1.</t>
    </r>
  </si>
  <si>
    <r>
      <rPr>
        <sz val="12"/>
        <color theme="1"/>
        <rFont val="Calibri"/>
        <family val="2"/>
        <scheme val="minor"/>
      </rPr>
      <t xml:space="preserve">Bramanti, B., Thomas, M. G., Haak, W., Unterländer, M., Jores, P., Tambets, K., ... &amp; Lueth, F. Genetic discontinuity between local hunter-gatherers and central Europe’s first farmers. </t>
    </r>
    <r>
      <rPr>
        <i/>
        <sz val="12"/>
        <color theme="1"/>
        <rFont val="Calibri"/>
        <family val="2"/>
        <scheme val="minor"/>
      </rPr>
      <t xml:space="preserve">Science </t>
    </r>
    <r>
      <rPr>
        <b/>
        <sz val="12"/>
        <color theme="1"/>
        <rFont val="Calibri"/>
        <family val="2"/>
        <scheme val="minor"/>
      </rPr>
      <t xml:space="preserve">326, </t>
    </r>
    <r>
      <rPr>
        <sz val="12"/>
        <color theme="1"/>
        <rFont val="Calibri"/>
        <family val="2"/>
        <scheme val="minor"/>
      </rPr>
      <t>5949 (2009), 137-140, table S6.</t>
    </r>
  </si>
  <si>
    <t>Chandler, H., Sykes, B. &amp; Zilhão, J. Using ancient DNA to examine genetic continuity at the Mesolithic-Neolithic transition in Portugal in Actas del III Congreso del Neolítico en la Península Ibérica (eds. Arias, P., Ontañon, R., García-Moncó, C.) 781-786 (Santander: Monografias del Instituto Internacional de Investigaciones Prehistóricas de Cantabria 1, 2005). Table 1, p. 784.</t>
  </si>
  <si>
    <r>
      <t xml:space="preserve">Chyleński, M., Ehler, E., Somel, M., Yaka, R., Krzewińska, M., Dabert, M., ... &amp; Marciniak, A. Ancient mitochondrial genomes reveal the absence of maternal kinship in the burials of Çatalhöyük people and their genetic affinities. </t>
    </r>
    <r>
      <rPr>
        <i/>
        <sz val="12"/>
        <color theme="1"/>
        <rFont val="Calibri"/>
        <family val="2"/>
        <scheme val="minor"/>
      </rPr>
      <t>Genes</t>
    </r>
    <r>
      <rPr>
        <sz val="12"/>
        <color theme="1"/>
        <rFont val="Calibri"/>
        <family val="2"/>
        <scheme val="minor"/>
      </rPr>
      <t xml:space="preserve"> </t>
    </r>
    <r>
      <rPr>
        <b/>
        <sz val="12"/>
        <color theme="1"/>
        <rFont val="Calibri"/>
        <family val="2"/>
        <scheme val="minor"/>
      </rPr>
      <t>10</t>
    </r>
    <r>
      <rPr>
        <sz val="12"/>
        <color theme="1"/>
        <rFont val="Calibri"/>
        <family val="2"/>
        <scheme val="minor"/>
      </rPr>
      <t>(3), 207 (2019). Haplogroups in table 1 (main paper). Dates in p. 3.</t>
    </r>
  </si>
  <si>
    <r>
      <rPr>
        <sz val="12"/>
        <color theme="1"/>
        <rFont val="Calibri"/>
        <family val="2"/>
        <scheme val="minor"/>
      </rPr>
      <t xml:space="preserve">Fraser, M., Sanchez-Quinto, F., Evans, J., Storå, J., Götherström, A., Wallin, P., ... &amp; Jakobsson, M. New insights on cultural dualism and population structure in the Middle Neolithic Funnel Beaker culture on the island of Gotland. </t>
    </r>
    <r>
      <rPr>
        <i/>
        <sz val="12"/>
        <color theme="1"/>
        <rFont val="Calibri"/>
        <family val="2"/>
        <scheme val="minor"/>
      </rPr>
      <t xml:space="preserve">Journal of Archaeological Science: Reports </t>
    </r>
    <r>
      <rPr>
        <b/>
        <sz val="12"/>
        <color theme="1"/>
        <rFont val="Calibri"/>
        <family val="2"/>
        <scheme val="minor"/>
      </rPr>
      <t>17</t>
    </r>
    <r>
      <rPr>
        <sz val="12"/>
        <color theme="1"/>
        <rFont val="Calibri"/>
        <family val="2"/>
        <scheme val="minor"/>
      </rPr>
      <t>, 325-334 (2018).</t>
    </r>
  </si>
  <si>
    <r>
      <rPr>
        <sz val="12"/>
        <color theme="1"/>
        <rFont val="Calibri"/>
        <family val="2"/>
        <scheme val="minor"/>
      </rPr>
      <t xml:space="preserve">Freilich, S., Ringbauer, H., Los, D. </t>
    </r>
    <r>
      <rPr>
        <i/>
        <sz val="12"/>
        <color theme="1"/>
        <rFont val="Calibri"/>
        <family val="2"/>
        <scheme val="minor"/>
      </rPr>
      <t xml:space="preserve">et al. </t>
    </r>
    <r>
      <rPr>
        <sz val="12"/>
        <color theme="1"/>
        <rFont val="Calibri"/>
        <family val="2"/>
        <scheme val="minor"/>
      </rPr>
      <t>Reconstructing genetic histories and social organisation in Neolithic and Bronze Age Croatia</t>
    </r>
    <r>
      <rPr>
        <i/>
        <sz val="12"/>
        <color theme="1"/>
        <rFont val="Calibri"/>
        <family val="2"/>
        <scheme val="minor"/>
      </rPr>
      <t xml:space="preserve">. Sci Rep </t>
    </r>
    <r>
      <rPr>
        <b/>
        <sz val="12"/>
        <color theme="1"/>
        <rFont val="Calibri"/>
        <family val="2"/>
        <scheme val="minor"/>
      </rPr>
      <t>11</t>
    </r>
    <r>
      <rPr>
        <sz val="12"/>
        <color theme="1"/>
        <rFont val="Calibri"/>
        <family val="2"/>
        <scheme val="minor"/>
      </rPr>
      <t>, 16729 (2021).</t>
    </r>
  </si>
  <si>
    <t>Graefen, Angela. Dissertation. Population genetic analysis of Neolithic to Bronze Age human remains from Trentino-Alto Adige (Northern Italy). Johannes Gutenberg-Universität Mainz (2020).</t>
  </si>
  <si>
    <t>Arzelier et al. 2022</t>
  </si>
  <si>
    <r>
      <t xml:space="preserve">Arzelier, A., et al. Neolithic genomic data from southern France showcase intensified interactions with hunter-gatherer communities. </t>
    </r>
    <r>
      <rPr>
        <i/>
        <sz val="11"/>
        <color theme="1"/>
        <rFont val="Calibri"/>
        <family val="2"/>
        <scheme val="minor"/>
      </rPr>
      <t>iScience</t>
    </r>
    <r>
      <rPr>
        <sz val="11"/>
        <color theme="1"/>
        <rFont val="Calibri"/>
        <family val="2"/>
        <scheme val="minor"/>
      </rPr>
      <t xml:space="preserve"> </t>
    </r>
    <r>
      <rPr>
        <b/>
        <sz val="11"/>
        <color theme="1"/>
        <rFont val="Calibri"/>
        <family val="2"/>
        <scheme val="minor"/>
      </rPr>
      <t>25</t>
    </r>
    <r>
      <rPr>
        <sz val="11"/>
        <color theme="1"/>
        <rFont val="Calibri"/>
        <family val="2"/>
        <scheme val="minor"/>
      </rPr>
      <t>, 105387 (2022), Data S1.</t>
    </r>
  </si>
  <si>
    <t>Gazel4</t>
  </si>
  <si>
    <t>BBB001</t>
  </si>
  <si>
    <t>BBB002</t>
  </si>
  <si>
    <t>BBB003_6</t>
  </si>
  <si>
    <t>BBB004</t>
  </si>
  <si>
    <t>BBB008</t>
  </si>
  <si>
    <t>BBB009</t>
  </si>
  <si>
    <t>BBB014</t>
  </si>
  <si>
    <t>SP193</t>
  </si>
  <si>
    <t>SP237</t>
  </si>
  <si>
    <t>CRE20B</t>
  </si>
  <si>
    <t>CRE20D</t>
  </si>
  <si>
    <t>Grotte Gazel, Sallèles-Cabardès, Aude</t>
  </si>
  <si>
    <t>La Baume Bourbon, Cabrières, Gard</t>
  </si>
  <si>
    <t>Le Champ du Poste, Carcassonne, Aude</t>
  </si>
  <si>
    <t>Le Crès, Béziers, Hérault</t>
  </si>
  <si>
    <t>G2a2a1a2a1</t>
  </si>
  <si>
    <t>H2m</t>
  </si>
  <si>
    <t>France_EN</t>
  </si>
  <si>
    <t>France_ENMN</t>
  </si>
  <si>
    <t>France_MN</t>
  </si>
  <si>
    <t>A</t>
  </si>
  <si>
    <t>B</t>
  </si>
  <si>
    <t>D</t>
  </si>
  <si>
    <t>E</t>
  </si>
  <si>
    <t>L</t>
  </si>
  <si>
    <t>O</t>
  </si>
  <si>
    <t>P</t>
  </si>
  <si>
    <t>Q</t>
  </si>
  <si>
    <t>S</t>
  </si>
  <si>
    <t>DISTANCE CHECK: (colF^2+col I^2)^0.5</t>
  </si>
  <si>
    <t>Y = R(Lat-35.87)      [angles in radians, see Sec. S3-A]</t>
  </si>
  <si>
    <t>INLAND ROUTE</t>
  </si>
  <si>
    <t>SEA ROUTE</t>
  </si>
  <si>
    <r>
      <rPr>
        <b/>
        <sz val="11"/>
        <color theme="1"/>
        <rFont val="Calibri"/>
        <family val="2"/>
        <scheme val="minor"/>
      </rPr>
      <t xml:space="preserve">Region </t>
    </r>
    <r>
      <rPr>
        <sz val="11"/>
        <color theme="1"/>
        <rFont val="Calibri"/>
        <family val="2"/>
        <scheme val="minor"/>
      </rPr>
      <t xml:space="preserve">(for which the mitochondrial haplogroup of at least 10 Neolithic individuals is known) </t>
    </r>
    <r>
      <rPr>
        <b/>
        <sz val="11"/>
        <color theme="1"/>
        <rFont val="Calibri"/>
        <family val="2"/>
        <scheme val="minor"/>
      </rPr>
      <t xml:space="preserve"> [greeen blackground denotes inland route and blue background sea route]</t>
    </r>
  </si>
  <si>
    <r>
      <rPr>
        <b/>
        <sz val="11"/>
        <color theme="1"/>
        <rFont val="Calibri"/>
        <family val="2"/>
        <scheme val="minor"/>
      </rPr>
      <t>Region</t>
    </r>
    <r>
      <rPr>
        <sz val="11"/>
        <color theme="1"/>
        <rFont val="Calibri"/>
        <family val="2"/>
        <scheme val="minor"/>
      </rPr>
      <t xml:space="preserve"> (for which the mitochondrial haplogroup of at least 10 Neolithic individuals is known)</t>
    </r>
    <r>
      <rPr>
        <b/>
        <sz val="11"/>
        <color theme="1"/>
        <rFont val="Calibri"/>
        <family val="2"/>
        <scheme val="minor"/>
      </rPr>
      <t xml:space="preserve">  [greeen blackground denotes inland route and blue background sea route]</t>
    </r>
  </si>
  <si>
    <r>
      <rPr>
        <b/>
        <sz val="11"/>
        <color theme="1"/>
        <rFont val="Calibri"/>
        <family val="2"/>
        <scheme val="minor"/>
      </rPr>
      <t>Region</t>
    </r>
    <r>
      <rPr>
        <sz val="11"/>
        <color theme="1"/>
        <rFont val="Calibri"/>
        <family val="2"/>
        <scheme val="minor"/>
      </rPr>
      <t xml:space="preserve"> (for which the mitochondrial haplogroup of at least 10 Neolithic individuals is known)  </t>
    </r>
    <r>
      <rPr>
        <b/>
        <sz val="11"/>
        <color theme="1"/>
        <rFont val="Calibri"/>
        <family val="2"/>
        <scheme val="minor"/>
      </rPr>
      <t>[greeen blackground denotes inland route and blue background sea route]</t>
    </r>
  </si>
  <si>
    <t>Y=R·(Lat-35.87)  [angles in radians, see Sec. S3-A]</t>
  </si>
  <si>
    <t xml:space="preserve">Method  used to compute distance     (see Sec. S3)     </t>
  </si>
  <si>
    <t xml:space="preserve">*** The number of generations or iterations is the nearest integer to the the difference between the date used for Abu Hureyra (8,718 cal BC, see Methods, Initial conditions in our main </t>
  </si>
  <si>
    <t>5 Romania and  Serbia (except Iron Gates)†</t>
  </si>
  <si>
    <t>Method used to compute distance          (see Sec. S3)</t>
  </si>
  <si>
    <t xml:space="preserve">     paper) minus the mean date of the individuals whose DNA has been determined in the region considered (previous column), divided by the generation time (32 yr, see Methods).</t>
  </si>
  <si>
    <t>material</t>
  </si>
  <si>
    <t>OxA-6996</t>
  </si>
  <si>
    <t>cereal seed</t>
  </si>
  <si>
    <t>human bone</t>
  </si>
  <si>
    <t>Schwanfeld</t>
  </si>
  <si>
    <t>Hd-14219</t>
  </si>
  <si>
    <t>OxA-4177</t>
  </si>
  <si>
    <t>OxA-7460</t>
  </si>
  <si>
    <t>error</t>
  </si>
  <si>
    <t>Ly-9879</t>
  </si>
  <si>
    <t>Les Guixeres de Vilobí</t>
  </si>
  <si>
    <t>OxA-26068</t>
  </si>
  <si>
    <t>Ua-24427</t>
  </si>
  <si>
    <t>Lameiras</t>
  </si>
  <si>
    <t>OxA-29109</t>
  </si>
  <si>
    <r>
      <t xml:space="preserve">[2] Abu Hureyra is the oldest PPNB site in Syria, Anatolia and Iraq according to the database by  Pinhasi R, Fort J &amp; Ammerman A J, Tracing the origin and spread of agriculture in Europe, </t>
    </r>
    <r>
      <rPr>
        <i/>
        <sz val="11"/>
        <color theme="1"/>
        <rFont val="Calibri"/>
        <family val="2"/>
        <scheme val="minor"/>
      </rPr>
      <t>PLoS Biology</t>
    </r>
    <r>
      <rPr>
        <sz val="11"/>
        <color theme="1"/>
        <rFont val="Calibri"/>
        <family val="2"/>
        <scheme val="minor"/>
      </rPr>
      <t xml:space="preserve"> </t>
    </r>
    <r>
      <rPr>
        <b/>
        <sz val="11"/>
        <color theme="1"/>
        <rFont val="Calibri"/>
        <family val="2"/>
        <scheme val="minor"/>
      </rPr>
      <t>3</t>
    </r>
    <r>
      <rPr>
        <sz val="11"/>
        <color theme="1"/>
        <rFont val="Calibri"/>
        <family val="2"/>
        <scheme val="minor"/>
      </rPr>
      <t xml:space="preserve">, e410 (2005), table S1. In that database, the date of Abu Hureyra is </t>
    </r>
  </si>
  <si>
    <t>Whitwell Long Chairn</t>
  </si>
  <si>
    <t>ID</t>
  </si>
  <si>
    <t>oldest date                 uncal BP</t>
  </si>
  <si>
    <r>
      <t xml:space="preserve">[4] A genomic analysis of individuals from Boncuklu and other sites was perfomed by  Feldman M </t>
    </r>
    <r>
      <rPr>
        <i/>
        <sz val="11"/>
        <color theme="1"/>
        <rFont val="Calibri"/>
        <family val="2"/>
        <scheme val="minor"/>
      </rPr>
      <t>et al.</t>
    </r>
    <r>
      <rPr>
        <sz val="11"/>
        <color theme="1"/>
        <rFont val="Calibri"/>
        <family val="2"/>
        <scheme val="minor"/>
      </rPr>
      <t>, Late Pleistocene human genome suggests a local origin for the first  farmers of central Anatolia,</t>
    </r>
    <r>
      <rPr>
        <i/>
        <sz val="11"/>
        <color theme="1"/>
        <rFont val="Calibri"/>
        <family val="2"/>
        <scheme val="minor"/>
      </rPr>
      <t xml:space="preserve"> Nat. Commun. </t>
    </r>
    <r>
      <rPr>
        <b/>
        <sz val="11"/>
        <color theme="1"/>
        <rFont val="Calibri"/>
        <family val="2"/>
        <scheme val="minor"/>
      </rPr>
      <t>10</t>
    </r>
    <r>
      <rPr>
        <sz val="11"/>
        <color theme="1"/>
        <rFont val="Calibri"/>
        <family val="2"/>
        <scheme val="minor"/>
      </rPr>
      <t xml:space="preserve">, 1218 (2019). In that paper by Feldman </t>
    </r>
    <r>
      <rPr>
        <i/>
        <sz val="11"/>
        <color theme="1"/>
        <rFont val="Calibri"/>
        <family val="2"/>
        <scheme val="minor"/>
      </rPr>
      <t>et al.,</t>
    </r>
  </si>
  <si>
    <t xml:space="preserve">[1] Northern Mesopotamia includes northern Syria, north-western Iraq and south-eastern Anatolia. </t>
  </si>
  <si>
    <t xml:space="preserve">      of both local HGs and farmers from the East (northern or upper Mesopotamia), where agriculture first appeared. This agrees with including northern Mesopotamia in our data and simulations.  An additional open possibility is a mainly demic  coastal spread from Syria</t>
  </si>
  <si>
    <t xml:space="preserve">      to Cyprus, Aegean Anatolia, Crete and  southern Greece. The existence of both routes has been noted by archaeologists (see Shennan  S, The first farmers of Europe, Cambridge Univ. Press, 2018, Fig. 3.4 and p. 71) but more genetic data are needed to estimate the </t>
  </si>
  <si>
    <t xml:space="preserve">      percentages of mt haplogroup K along each of those routes.</t>
  </si>
  <si>
    <r>
      <t xml:space="preserve">      in Anatolia. However, Lazaridis et al., </t>
    </r>
    <r>
      <rPr>
        <i/>
        <sz val="11"/>
        <color theme="1"/>
        <rFont val="Calibri"/>
        <family val="2"/>
        <scheme val="minor"/>
      </rPr>
      <t>Science</t>
    </r>
    <r>
      <rPr>
        <sz val="11"/>
        <color theme="1"/>
        <rFont val="Calibri"/>
        <family val="2"/>
        <scheme val="minor"/>
      </rPr>
      <t xml:space="preserve"> </t>
    </r>
    <r>
      <rPr>
        <b/>
        <sz val="11"/>
        <color theme="1"/>
        <rFont val="Calibri"/>
        <family val="2"/>
        <scheme val="minor"/>
      </rPr>
      <t>377</t>
    </r>
    <r>
      <rPr>
        <sz val="11"/>
        <color theme="1"/>
        <rFont val="Calibri"/>
        <family val="2"/>
        <scheme val="minor"/>
      </rPr>
      <t>, 982–987 (2022)  have very recently presented the first DNA data from the pre-pottery Neolithic in Mesopotamia and they  indicate that pre-pottery Neolithic populations in Anatolia were formed with the contribution</t>
    </r>
  </si>
  <si>
    <t>B Anatolia [3,4]</t>
  </si>
  <si>
    <r>
      <t xml:space="preserve">      the date 9,557 cal BC for Abu Hureyra (9,860+-220 uncal BP, from Hillman G</t>
    </r>
    <r>
      <rPr>
        <i/>
        <sz val="11"/>
        <color theme="1"/>
        <rFont val="Calibri"/>
        <family val="2"/>
        <scheme val="minor"/>
      </rPr>
      <t xml:space="preserve"> et al.,</t>
    </r>
    <r>
      <rPr>
        <sz val="11"/>
        <color theme="1"/>
        <rFont val="Calibri"/>
        <family val="2"/>
        <scheme val="minor"/>
      </rPr>
      <t xml:space="preserve"> </t>
    </r>
    <r>
      <rPr>
        <i/>
        <sz val="11"/>
        <color theme="1"/>
        <rFont val="Calibri"/>
        <family val="2"/>
        <scheme val="minor"/>
      </rPr>
      <t>The Holocene</t>
    </r>
    <r>
      <rPr>
        <sz val="11"/>
        <color theme="1"/>
        <rFont val="Calibri"/>
        <family val="2"/>
        <scheme val="minor"/>
      </rPr>
      <t xml:space="preserve"> </t>
    </r>
    <r>
      <rPr>
        <b/>
        <sz val="11"/>
        <color theme="1"/>
        <rFont val="Calibri"/>
        <family val="2"/>
        <scheme val="minor"/>
      </rPr>
      <t>11</t>
    </r>
    <r>
      <rPr>
        <sz val="11"/>
        <color theme="1"/>
        <rFont val="Calibri"/>
        <family val="2"/>
        <scheme val="minor"/>
      </rPr>
      <t>, 383-393, 2001). It is still older, was obtained on a cereal seed, and falls within the Neolithic range for this site (Moore A M T, in Smith C, ed.,</t>
    </r>
    <r>
      <rPr>
        <i/>
        <sz val="11"/>
        <color theme="1"/>
        <rFont val="Calibri"/>
        <family val="2"/>
        <scheme val="minor"/>
      </rPr>
      <t xml:space="preserve"> Encyclopedia of global  </t>
    </r>
  </si>
  <si>
    <t xml:space="preserve">      archaeology, Springer, 2014). All results in our main paper would be exactly the same if we used either of both dates (9,557 cal BC or 9,038 cal BC) because the initial time used in the simulations (8,718 cal BC) is more recent than both of them (seee Methods, Initial </t>
  </si>
  <si>
    <r>
      <t xml:space="preserve">      conditions). Such a date (8,718 cal BC)  for the start of the Neolithic spread is within the PPNB period of Abu Hureyra  (Smith A, Oechsner A, Rowley-Conwy P &amp; Moore A M T, </t>
    </r>
    <r>
      <rPr>
        <i/>
        <sz val="11"/>
        <color theme="1"/>
        <rFont val="Calibri"/>
        <family val="2"/>
        <scheme val="minor"/>
      </rPr>
      <t>PLoS One</t>
    </r>
    <r>
      <rPr>
        <sz val="11"/>
        <color theme="1"/>
        <rFont val="Calibri"/>
        <family val="2"/>
        <scheme val="minor"/>
      </rPr>
      <t xml:space="preserve"> </t>
    </r>
    <r>
      <rPr>
        <b/>
        <sz val="11"/>
        <color theme="1"/>
        <rFont val="Calibri"/>
        <family val="2"/>
        <scheme val="minor"/>
      </rPr>
      <t>17</t>
    </r>
    <r>
      <rPr>
        <sz val="11"/>
        <color theme="1"/>
        <rFont val="Calibri"/>
        <family val="2"/>
        <scheme val="minor"/>
      </rPr>
      <t>, e0272947, 2022).</t>
    </r>
  </si>
  <si>
    <t>9,023</t>
  </si>
  <si>
    <t>24</t>
  </si>
  <si>
    <t>C Germany LBK [5,6]</t>
  </si>
  <si>
    <t>D northern France [7]</t>
  </si>
  <si>
    <t>Lv-1579</t>
  </si>
  <si>
    <t>E Belgium [5,8]</t>
  </si>
  <si>
    <t>Darion</t>
  </si>
  <si>
    <r>
      <t xml:space="preserve">[5] Fort J, Pujol T, Vander Linden M. Modelling the Neolithic transition in the Near East and Europe, </t>
    </r>
    <r>
      <rPr>
        <i/>
        <sz val="11"/>
        <color theme="1"/>
        <rFont val="Calibri"/>
        <family val="2"/>
        <scheme val="minor"/>
      </rPr>
      <t>American Antiquity</t>
    </r>
    <r>
      <rPr>
        <sz val="11"/>
        <color theme="1"/>
        <rFont val="Calibri"/>
        <family val="2"/>
        <scheme val="minor"/>
      </rPr>
      <t xml:space="preserve"> </t>
    </r>
    <r>
      <rPr>
        <b/>
        <sz val="11"/>
        <color theme="1"/>
        <rFont val="Calibri"/>
        <family val="2"/>
        <scheme val="minor"/>
      </rPr>
      <t>77</t>
    </r>
    <r>
      <rPr>
        <sz val="11"/>
        <color theme="1"/>
        <rFont val="Calibri"/>
        <family val="2"/>
        <scheme val="minor"/>
      </rPr>
      <t xml:space="preserve">, 203-220 (2012), Supp. Data 1. </t>
    </r>
  </si>
  <si>
    <r>
      <t xml:space="preserve">[9] Bronk Ramsey C., </t>
    </r>
    <r>
      <rPr>
        <i/>
        <sz val="11"/>
        <color theme="1"/>
        <rFont val="Calibri"/>
        <family val="2"/>
        <scheme val="minor"/>
      </rPr>
      <t xml:space="preserve">et al., </t>
    </r>
    <r>
      <rPr>
        <sz val="11"/>
        <color theme="1"/>
        <rFont val="Calibri"/>
        <family val="2"/>
        <scheme val="minor"/>
      </rPr>
      <t xml:space="preserve">Radiocarbon dates from the Oxford AMS system: </t>
    </r>
    <r>
      <rPr>
        <i/>
        <sz val="11"/>
        <color theme="1"/>
        <rFont val="Calibri"/>
        <family val="2"/>
        <scheme val="minor"/>
      </rPr>
      <t xml:space="preserve">Archaeometry </t>
    </r>
    <r>
      <rPr>
        <sz val="11"/>
        <color theme="1"/>
        <rFont val="Calibri"/>
        <family val="2"/>
        <scheme val="minor"/>
      </rPr>
      <t xml:space="preserve">datelist 31. </t>
    </r>
    <r>
      <rPr>
        <i/>
        <sz val="11"/>
        <color theme="1"/>
        <rFont val="Calibri"/>
        <family val="2"/>
        <scheme val="minor"/>
      </rPr>
      <t>Archaeometry</t>
    </r>
    <r>
      <rPr>
        <sz val="11"/>
        <color theme="1"/>
        <rFont val="Calibri"/>
        <family val="2"/>
        <scheme val="minor"/>
      </rPr>
      <t xml:space="preserve"> </t>
    </r>
    <r>
      <rPr>
        <b/>
        <sz val="11"/>
        <color theme="1"/>
        <rFont val="Calibri"/>
        <family val="2"/>
        <scheme val="minor"/>
      </rPr>
      <t>44</t>
    </r>
    <r>
      <rPr>
        <sz val="11"/>
        <color theme="1"/>
        <rFont val="Calibri"/>
        <family val="2"/>
        <scheme val="minor"/>
      </rPr>
      <t>, 1-149 (2002), p. 74-75, samples submitted by E. Peltenburg. For a database of PPNB dates in Cyprus, see Edwards P C, The chronology and dispersal</t>
    </r>
  </si>
  <si>
    <t xml:space="preserve">F Cyprus PPNB [9] † </t>
  </si>
  <si>
    <t>† Especially for these 2 regions, part of the path from Abu Hureyra is necessarily inland but most of it is on the sea, so we have applied the sea model (Figs. 1a and  S6a).</t>
  </si>
  <si>
    <r>
      <t xml:space="preserve">      of the PPNB cultural complex in the Levant. </t>
    </r>
    <r>
      <rPr>
        <i/>
        <sz val="11"/>
        <color theme="1"/>
        <rFont val="Calibri"/>
        <family val="2"/>
        <scheme val="minor"/>
      </rPr>
      <t xml:space="preserve">Paléorient </t>
    </r>
    <r>
      <rPr>
        <b/>
        <sz val="11"/>
        <color theme="1"/>
        <rFont val="Calibri"/>
        <family val="2"/>
        <scheme val="minor"/>
      </rPr>
      <t>42</t>
    </r>
    <r>
      <rPr>
        <sz val="11"/>
        <color theme="1"/>
        <rFont val="Calibri"/>
        <family val="2"/>
        <scheme val="minor"/>
      </rPr>
      <t>, 53-72 (2016), table 3. Some dates in this database  were obtained from charcoal and/or non-domestic species, so they are not highly reliable. We have used the oldest highly reliable date within the PPNB.</t>
    </r>
  </si>
  <si>
    <t>Pont de Roque-Haute</t>
  </si>
  <si>
    <t>Kissonerga-Mylouthkia †</t>
  </si>
  <si>
    <t>G southern France [11]</t>
  </si>
  <si>
    <t xml:space="preserve">I Navarre [12] † </t>
  </si>
  <si>
    <r>
      <t xml:space="preserve">[11] Fort J, Dispersal distances and cultural effects in the spread of the Neolithic along the northern Mediterranean coast, </t>
    </r>
    <r>
      <rPr>
        <i/>
        <sz val="11"/>
        <color theme="1"/>
        <rFont val="Calibri"/>
        <family val="2"/>
        <scheme val="minor"/>
      </rPr>
      <t>Archaeol. Anthropol. Sci.</t>
    </r>
    <r>
      <rPr>
        <sz val="11"/>
        <color theme="1"/>
        <rFont val="Calibri"/>
        <family val="2"/>
        <scheme val="minor"/>
      </rPr>
      <t xml:space="preserve"> </t>
    </r>
    <r>
      <rPr>
        <b/>
        <sz val="11"/>
        <color theme="1"/>
        <rFont val="Calibri"/>
        <family val="2"/>
        <scheme val="minor"/>
      </rPr>
      <t>14</t>
    </r>
    <r>
      <rPr>
        <sz val="11"/>
        <color theme="1"/>
        <rFont val="Calibri"/>
        <family val="2"/>
        <scheme val="minor"/>
      </rPr>
      <t xml:space="preserve">, 153 (2022), Supp. Data. </t>
    </r>
  </si>
  <si>
    <t xml:space="preserve">      the Iberian database coordinated 
by A. Alday and J. C. Mejías (https://sites.google.com/view/c14pe
ninsulaiberica/dataciones-14).</t>
  </si>
  <si>
    <r>
      <t xml:space="preserve">[12] García J G, Sesma J, Rojo M A, Aldady A, Garrido R, García I, Los Cascajos (Los Arcos, Navarra), </t>
    </r>
    <r>
      <rPr>
        <i/>
        <sz val="11"/>
        <color theme="1"/>
        <rFont val="Calibri"/>
        <family val="2"/>
        <scheme val="minor"/>
      </rPr>
      <t xml:space="preserve">Saguntum </t>
    </r>
    <r>
      <rPr>
        <b/>
        <sz val="11"/>
        <color theme="1"/>
        <rFont val="Calibri"/>
        <family val="2"/>
        <scheme val="minor"/>
      </rPr>
      <t>12</t>
    </r>
    <r>
      <rPr>
        <sz val="11"/>
        <color theme="1"/>
        <rFont val="Calibri"/>
        <family val="2"/>
        <scheme val="minor"/>
      </rPr>
      <t>, 135-140 (2011). For databases of Neolithic sites in Navarre, see  the Base de Données Archéologique (BDA) by T. Perrin (https://bda.huma-num.
fr/) as well as</t>
    </r>
  </si>
  <si>
    <r>
      <t>[7] Brunel, S.</t>
    </r>
    <r>
      <rPr>
        <i/>
        <sz val="11"/>
        <color theme="1"/>
        <rFont val="Calibri"/>
        <family val="2"/>
        <scheme val="minor"/>
      </rPr>
      <t xml:space="preserve"> et al. </t>
    </r>
    <r>
      <rPr>
        <sz val="11"/>
        <color theme="1"/>
        <rFont val="Calibri"/>
        <family val="2"/>
        <scheme val="minor"/>
      </rPr>
      <t xml:space="preserve">Ancient genomes from present-day France unveil 7,000 years of its demographic history, </t>
    </r>
    <r>
      <rPr>
        <i/>
        <sz val="11"/>
        <color theme="1"/>
        <rFont val="Calibri"/>
        <family val="2"/>
        <scheme val="minor"/>
      </rPr>
      <t>PNAS</t>
    </r>
    <r>
      <rPr>
        <sz val="11"/>
        <color theme="1"/>
        <rFont val="Calibri"/>
        <family val="2"/>
        <scheme val="minor"/>
      </rPr>
      <t xml:space="preserve"> </t>
    </r>
    <r>
      <rPr>
        <b/>
        <sz val="11"/>
        <color theme="1"/>
        <rFont val="Calibri"/>
        <family val="2"/>
        <scheme val="minor"/>
      </rPr>
      <t>117</t>
    </r>
    <r>
      <rPr>
        <sz val="11"/>
        <color theme="1"/>
        <rFont val="Calibri"/>
        <family val="2"/>
        <scheme val="minor"/>
      </rPr>
      <t>, 12791–12798 (2020), Dataset S1. This date (5,302 al BCE) is older also than all northern French reliable dates in database [5].</t>
    </r>
  </si>
  <si>
    <t>Oxie</t>
  </si>
  <si>
    <t>Favella della Corte</t>
  </si>
  <si>
    <t>K Italy [11]</t>
  </si>
  <si>
    <t>LTL-202A</t>
  </si>
  <si>
    <t>Generations from 8718 cal years BCE  **</t>
  </si>
  <si>
    <t>Distance to Abu Hureyra (35.87N, 38.40E)  (km)***</t>
  </si>
  <si>
    <t>** The number of generations or iterations is the nearest integer to the date 8,718 cal BC (see note * above) minus the date of the oldest site in the region considered, divided by the generation time (32 yr).</t>
  </si>
  <si>
    <t xml:space="preserve">H Catalonia [11] </t>
  </si>
  <si>
    <t>J Portugal [11]</t>
  </si>
  <si>
    <t>Ua-22172</t>
  </si>
  <si>
    <t>L Sweden [13]</t>
  </si>
  <si>
    <t>8,718*</t>
  </si>
  <si>
    <t>Abu Hureyra (&lt;9,557 cal BCE)*</t>
  </si>
  <si>
    <t>OxA-19739</t>
  </si>
  <si>
    <t>Miercurea Sibiului-Petris</t>
  </si>
  <si>
    <t xml:space="preserve">      territory of Romania, BAR International Series 2188, Archaeopress, Oxford, 2011, pp. 71-78.</t>
  </si>
  <si>
    <t>N Romania [15]</t>
  </si>
  <si>
    <t>M Serbia [14]</t>
  </si>
  <si>
    <t>BRAMS-2413</t>
  </si>
  <si>
    <t>Rudnik Kosovski</t>
  </si>
  <si>
    <t>O UK (England, Wales &amp; Scotland) [16,17]</t>
  </si>
  <si>
    <r>
      <t>[6] Our date for Germany (5,545 cal BCE) agrees very well with an onset of farming in Germany at about 5,550 cal BC according to expert archaeologists in the earliest LBK sites in Germany (e.g., map in Gronenborn et al.,</t>
    </r>
    <r>
      <rPr>
        <i/>
        <sz val="11"/>
        <color theme="1"/>
        <rFont val="Calibri"/>
        <family val="2"/>
        <scheme val="minor"/>
      </rPr>
      <t xml:space="preserve"> J. Arch. Sci.</t>
    </r>
    <r>
      <rPr>
        <sz val="11"/>
        <color theme="1"/>
        <rFont val="Calibri"/>
        <family val="2"/>
        <scheme val="minor"/>
      </rPr>
      <t xml:space="preserve"> </t>
    </r>
    <r>
      <rPr>
        <b/>
        <sz val="11"/>
        <color theme="1"/>
        <rFont val="Calibri"/>
        <family val="2"/>
        <scheme val="minor"/>
      </rPr>
      <t>71</t>
    </r>
    <r>
      <rPr>
        <sz val="11"/>
        <color theme="1"/>
        <rFont val="Calibri"/>
        <family val="2"/>
        <scheme val="minor"/>
      </rPr>
      <t>, 73-83, 2014, Fig. 1).</t>
    </r>
  </si>
  <si>
    <t>Number of  X Nodes         (d = 50km) col I/50km</t>
  </si>
  <si>
    <t>Number of Y Nodes     (d = 50km)               col F/50km</t>
  </si>
  <si>
    <r>
      <t xml:space="preserve">      9,038 cal BC and its material is charcoal (see Palmisano</t>
    </r>
    <r>
      <rPr>
        <i/>
        <sz val="11"/>
        <color theme="1"/>
        <rFont val="Calibri"/>
        <family val="2"/>
        <scheme val="minor"/>
      </rPr>
      <t xml:space="preserve"> et al., </t>
    </r>
    <r>
      <rPr>
        <sz val="11"/>
        <color theme="1"/>
        <rFont val="Calibri"/>
        <family val="2"/>
        <scheme val="minor"/>
      </rPr>
      <t>The NERD Dataset: Near East Radiocarbon Dates between 15,000 and 1,500 cal. yr. BP.</t>
    </r>
    <r>
      <rPr>
        <i/>
        <sz val="11"/>
        <color theme="1"/>
        <rFont val="Calibri"/>
        <family val="2"/>
        <scheme val="minor"/>
      </rPr>
      <t xml:space="preserve"> J. Open Archaeol. Data,</t>
    </r>
    <r>
      <rPr>
        <sz val="11"/>
        <color theme="1"/>
        <rFont val="Calibri"/>
        <family val="2"/>
        <scheme val="minor"/>
      </rPr>
      <t xml:space="preserve"> 10, 1-9). Dates on charcoal are uncertain due to the old-wood effect so we consider, instead,  </t>
    </r>
  </si>
  <si>
    <t>ZHAP (Wk43898)</t>
  </si>
  <si>
    <t>B Anatolia (present-day Turkey) [3,4]</t>
  </si>
  <si>
    <r>
      <t>[3] Baird D et al., Agricultural origins on the Anatolian Plateau,</t>
    </r>
    <r>
      <rPr>
        <i/>
        <sz val="11"/>
        <color theme="1"/>
        <rFont val="Calibri"/>
        <family val="2"/>
        <scheme val="minor"/>
      </rPr>
      <t xml:space="preserve"> PNAS</t>
    </r>
    <r>
      <rPr>
        <sz val="11"/>
        <color theme="1"/>
        <rFont val="Calibri"/>
        <family val="2"/>
        <scheme val="minor"/>
      </rPr>
      <t xml:space="preserve"> </t>
    </r>
    <r>
      <rPr>
        <b/>
        <sz val="11"/>
        <color theme="1"/>
        <rFont val="Calibri"/>
        <family val="2"/>
        <scheme val="minor"/>
      </rPr>
      <t>115</t>
    </r>
    <r>
      <rPr>
        <sz val="11"/>
        <color theme="1"/>
        <rFont val="Calibri"/>
        <family val="2"/>
        <scheme val="minor"/>
      </rPr>
      <t xml:space="preserve">, E3077-E3086 (2018), SI Appendix, p. 8. The PPNB did not reach Boncuklu (neither Europe) because it was restricted to eastern and southern regions of the Near East, see Goring-Morris  A N &amp;  </t>
    </r>
  </si>
  <si>
    <t xml:space="preserve">      Belfer-Cohen A,  The  Neolithic in Southern 
Levant: Yet another ‘unique’ phenomenon…. In La Transition Néolithique en 
Méditerranée, edited by C. Manen et  al., Éditions Errance, Toulouse, 2014, map in Fig. 3.  </t>
  </si>
  <si>
    <t xml:space="preserve">      the similarity of the genomes of several central Anatolian early farmers and a single central Anatolian HG was used to suggest a mainly cultural rather than demic Neolithic transition in central Anatolia. Genomes of Syrian early farmers were not available. If </t>
  </si>
  <si>
    <t xml:space="preserve">      additional genomes showed in the future that central Anatolian early farmers were genetically closer to central Anatolian HGs than to Syrian early farmers, our mostly  demic cline could still be realistic simply by excluding northern Mesopotamia, i.e., with an origin </t>
  </si>
  <si>
    <t>C Germany [5,6]</t>
  </si>
  <si>
    <t>Lotissement les terrasses de la Zorn</t>
  </si>
  <si>
    <r>
      <t xml:space="preserve">[8] The material of Lv-1579 is a cereal seed, see Denaire </t>
    </r>
    <r>
      <rPr>
        <i/>
        <sz val="11"/>
        <color theme="1"/>
        <rFont val="Calibri"/>
        <family val="2"/>
        <scheme val="minor"/>
      </rPr>
      <t xml:space="preserve">et al., </t>
    </r>
    <r>
      <rPr>
        <sz val="11"/>
        <color theme="1"/>
        <rFont val="Calibri"/>
        <family val="2"/>
        <scheme val="minor"/>
      </rPr>
      <t>The cultural project: formal chronological modelling of the early and middle Neolithic in lower Alsace,</t>
    </r>
    <r>
      <rPr>
        <i/>
        <sz val="11"/>
        <color theme="1"/>
        <rFont val="Calibri"/>
        <family val="2"/>
        <scheme val="minor"/>
      </rPr>
      <t xml:space="preserve"> J. Arch. Meth. Theor. </t>
    </r>
    <r>
      <rPr>
        <b/>
        <sz val="11"/>
        <color theme="1"/>
        <rFont val="Calibri"/>
        <family val="2"/>
        <scheme val="minor"/>
      </rPr>
      <t>24</t>
    </r>
    <r>
      <rPr>
        <sz val="11"/>
        <color theme="1"/>
        <rFont val="Calibri"/>
        <family val="2"/>
        <scheme val="minor"/>
      </rPr>
      <t xml:space="preserve">, 1072-1149 (2017), table 8. </t>
    </r>
  </si>
  <si>
    <t>*** For the inland model (greeen background), distances have been estimated using great circles (Fig. 1a, yellow). For the sea model (blue background), the application sea-seek.com (Fig. S6a) has been used to estimate distances along the coast (Fig. 1a, white).</t>
  </si>
  <si>
    <t xml:space="preserve">[10] We have assumed that Cyprus was reached from the North (closest mainland location, at about 70 km) for consistency with the sea travel distance used in the simulations (70 km). If it were reached from the East, its error bar in Fig. 1b would be moved very </t>
  </si>
  <si>
    <t xml:space="preserve">     slightly to the left and the results would not change. </t>
  </si>
  <si>
    <r>
      <t xml:space="preserve">bone, </t>
    </r>
    <r>
      <rPr>
        <i/>
        <sz val="11"/>
        <color theme="1"/>
        <rFont val="Calibri"/>
        <family val="2"/>
        <scheme val="minor"/>
      </rPr>
      <t>Ovis aries</t>
    </r>
  </si>
  <si>
    <r>
      <t xml:space="preserve">[14] Fort J, Pareta M M, Sorensen L. Estimating the relative importance of demic and cultural diffusion in the spread of the Neolithic in Scandinavia. </t>
    </r>
    <r>
      <rPr>
        <i/>
        <sz val="11"/>
        <color theme="1"/>
        <rFont val="Calibri"/>
        <family val="2"/>
        <scheme val="minor"/>
      </rPr>
      <t>J. R. Soc. Interface</t>
    </r>
    <r>
      <rPr>
        <sz val="11"/>
        <color theme="1"/>
        <rFont val="Calibri"/>
        <family val="2"/>
        <scheme val="minor"/>
      </rPr>
      <t xml:space="preserve"> </t>
    </r>
    <r>
      <rPr>
        <b/>
        <sz val="11"/>
        <color theme="1"/>
        <rFont val="Calibri"/>
        <family val="2"/>
        <scheme val="minor"/>
      </rPr>
      <t>15</t>
    </r>
    <r>
      <rPr>
        <sz val="11"/>
        <color theme="1"/>
        <rFont val="Calibri"/>
        <family val="2"/>
        <scheme val="minor"/>
      </rPr>
      <t xml:space="preserve">, 20180597, 1-11 (2018), Supp. Database. </t>
    </r>
  </si>
  <si>
    <r>
      <t xml:space="preserve">[15] Porcic M et al., The timing and tempo of the Neolithic expansion across the Central Balkans in the light of the new radiocarbon evidence, </t>
    </r>
    <r>
      <rPr>
        <i/>
        <sz val="11"/>
        <color theme="1"/>
        <rFont val="Calibri"/>
        <family val="2"/>
        <scheme val="minor"/>
      </rPr>
      <t xml:space="preserve">J. Arch. Sci. - Rep. </t>
    </r>
    <r>
      <rPr>
        <b/>
        <sz val="11"/>
        <color theme="1"/>
        <rFont val="Calibri"/>
        <family val="2"/>
        <scheme val="minor"/>
      </rPr>
      <t>33</t>
    </r>
    <r>
      <rPr>
        <sz val="11"/>
        <color theme="1"/>
        <rFont val="Calibri"/>
        <family val="2"/>
        <scheme val="minor"/>
      </rPr>
      <t xml:space="preserve">, 102528 (2020), table 1. This table contains an older date but its sample is </t>
    </r>
    <r>
      <rPr>
        <i/>
        <sz val="11"/>
        <color theme="1"/>
        <rFont val="Calibri"/>
        <family val="2"/>
        <scheme val="minor"/>
      </rPr>
      <t>Bos</t>
    </r>
    <r>
      <rPr>
        <sz val="11"/>
        <color theme="1"/>
        <rFont val="Calibri"/>
        <family val="2"/>
        <scheme val="minor"/>
      </rPr>
      <t>sp., which implies that it</t>
    </r>
  </si>
  <si>
    <t xml:space="preserve">[16] Biagi P, Some aspects of the earliest Neolithic chipped stone assemblages of Transylvania and the Banat (Romania), in Luca S A &amp; Suciu C, eds., The first Neolithic sites in Central/South-East European transect, vol. II, Early Neolithic (Starcevo-Cris) sites on the </t>
  </si>
  <si>
    <r>
      <t>[18] Our date for the UK (4,045 cal BCE) agrees very well with an onset of farming in Britain at about 4,000 cal BC according to the literature (Cubas et al.,</t>
    </r>
    <r>
      <rPr>
        <i/>
        <sz val="11"/>
        <color theme="1"/>
        <rFont val="Calibri"/>
        <family val="2"/>
        <scheme val="minor"/>
      </rPr>
      <t xml:space="preserve"> Nature Commun. </t>
    </r>
    <r>
      <rPr>
        <sz val="11"/>
        <color theme="1"/>
        <rFont val="Calibri"/>
        <family val="2"/>
        <scheme val="minor"/>
      </rPr>
      <t>2020; Shennan, The first farmers of Europe, Cambridge Univ. Press 2018, p.183; Larson,</t>
    </r>
    <r>
      <rPr>
        <i/>
        <sz val="11"/>
        <color theme="1"/>
        <rFont val="Calibri"/>
        <family val="2"/>
        <scheme val="minor"/>
      </rPr>
      <t xml:space="preserve"> Nature</t>
    </r>
    <r>
      <rPr>
        <sz val="11"/>
        <color theme="1"/>
        <rFont val="Calibri"/>
        <family val="2"/>
        <scheme val="minor"/>
      </rPr>
      <t xml:space="preserve"> 2015). </t>
    </r>
  </si>
  <si>
    <r>
      <t xml:space="preserve">[13] The material of OxA-29109 is a bone of </t>
    </r>
    <r>
      <rPr>
        <i/>
        <sz val="11"/>
        <color theme="1"/>
        <rFont val="Calibri"/>
        <family val="2"/>
        <scheme val="minor"/>
      </rPr>
      <t>Ovis Aries</t>
    </r>
    <r>
      <rPr>
        <sz val="11"/>
        <color theme="1"/>
        <rFont val="Calibri"/>
        <family val="2"/>
        <scheme val="minor"/>
      </rPr>
      <t xml:space="preserve">, see Davis S J M et al, Animal remains from Neolithic Lameiras, Sintra: the earliest domesticated sheep, goat, cattle and pigs in Portugal and some notes on their evolution, </t>
    </r>
    <r>
      <rPr>
        <i/>
        <sz val="11"/>
        <color theme="1"/>
        <rFont val="Calibri"/>
        <family val="2"/>
        <scheme val="minor"/>
      </rPr>
      <t xml:space="preserve">Archaeofauna </t>
    </r>
    <r>
      <rPr>
        <b/>
        <sz val="11"/>
        <color theme="1"/>
        <rFont val="Calibri"/>
        <family val="2"/>
        <scheme val="minor"/>
      </rPr>
      <t>27</t>
    </r>
    <r>
      <rPr>
        <sz val="11"/>
        <color theme="1"/>
        <rFont val="Calibri"/>
        <family val="2"/>
        <scheme val="minor"/>
      </rPr>
      <t>, 93-172 (2018).</t>
    </r>
  </si>
  <si>
    <t>L Sweden [14]</t>
  </si>
  <si>
    <t>M Serbia [15]</t>
  </si>
  <si>
    <t>N Romania [16]</t>
  </si>
  <si>
    <t>O UK (England, Wales &amp; Scotland) [17,18]</t>
  </si>
  <si>
    <t>J central Portugal [11,13]</t>
  </si>
  <si>
    <r>
      <t xml:space="preserve">       could be either domesticated cattle (</t>
    </r>
    <r>
      <rPr>
        <i/>
        <sz val="11"/>
        <color theme="1"/>
        <rFont val="Calibri"/>
        <family val="2"/>
        <scheme val="minor"/>
      </rPr>
      <t>Bos taurus</t>
    </r>
    <r>
      <rPr>
        <sz val="11"/>
        <color theme="1"/>
        <rFont val="Calibri"/>
        <family val="2"/>
        <scheme val="minor"/>
      </rPr>
      <t xml:space="preserve">) or wild cattle (auroch, </t>
    </r>
    <r>
      <rPr>
        <i/>
        <sz val="11"/>
        <color theme="1"/>
        <rFont val="Calibri"/>
        <family val="2"/>
        <scheme val="minor"/>
      </rPr>
      <t>Bos primigenius</t>
    </r>
    <r>
      <rPr>
        <sz val="11"/>
        <color theme="1"/>
        <rFont val="Calibri"/>
        <family val="2"/>
        <scheme val="minor"/>
      </rPr>
      <t>), thus it is not surely Neolithic (M. Porcic, personal commun.).</t>
    </r>
  </si>
  <si>
    <r>
      <t xml:space="preserve">[17] Betti L, </t>
    </r>
    <r>
      <rPr>
        <i/>
        <sz val="11"/>
        <color theme="1"/>
        <rFont val="Calibri"/>
        <family val="2"/>
        <scheme val="minor"/>
      </rPr>
      <t>et al.</t>
    </r>
    <r>
      <rPr>
        <sz val="11"/>
        <color theme="1"/>
        <rFont val="Calibri"/>
        <family val="2"/>
        <scheme val="minor"/>
      </rPr>
      <t xml:space="preserve">, Climate shaped how Neolithic farmers and European hunter-gatherers interacted after a major slowdown from 6,100 BCE to 4,500 BCE, </t>
    </r>
    <r>
      <rPr>
        <i/>
        <sz val="11"/>
        <color theme="1"/>
        <rFont val="Calibri"/>
        <family val="2"/>
        <scheme val="minor"/>
      </rPr>
      <t>Nature Human Behav.</t>
    </r>
    <r>
      <rPr>
        <sz val="11"/>
        <color theme="1"/>
        <rFont val="Calibri"/>
        <family val="2"/>
        <scheme val="minor"/>
      </rPr>
      <t xml:space="preserve"> </t>
    </r>
    <r>
      <rPr>
        <b/>
        <sz val="11"/>
        <color theme="1"/>
        <rFont val="Calibri"/>
        <family val="2"/>
        <scheme val="minor"/>
      </rPr>
      <t>4</t>
    </r>
    <r>
      <rPr>
        <sz val="11"/>
        <color theme="1"/>
        <rFont val="Calibri"/>
        <family val="2"/>
        <scheme val="minor"/>
      </rPr>
      <t>, 1004-1010(2020), Supp. Data 1. The oldest reliable UK date is the same as that in Ref. [5].</t>
    </r>
  </si>
  <si>
    <t>A northern Mesopotamia PPNB [1,2]</t>
  </si>
  <si>
    <t xml:space="preserve">Lat. </t>
  </si>
  <si>
    <t>Dzuljunica-Samrdes (Dzhuljunica)</t>
  </si>
  <si>
    <r>
      <t>bone,</t>
    </r>
    <r>
      <rPr>
        <i/>
        <sz val="11"/>
        <color theme="1"/>
        <rFont val="Calibri"/>
        <family val="2"/>
        <scheme val="minor"/>
      </rPr>
      <t xml:space="preserve"> Ovis aries</t>
    </r>
  </si>
  <si>
    <t>OxA-24939</t>
  </si>
  <si>
    <t>P Bulgaria [19]</t>
  </si>
  <si>
    <r>
      <t xml:space="preserve">[19] Krauss R, </t>
    </r>
    <r>
      <rPr>
        <i/>
        <sz val="11"/>
        <color theme="1"/>
        <rFont val="Calibri"/>
        <family val="2"/>
        <scheme val="minor"/>
      </rPr>
      <t>et al</t>
    </r>
    <r>
      <rPr>
        <sz val="11"/>
        <color theme="1"/>
        <rFont val="Calibri"/>
        <family val="2"/>
        <scheme val="minor"/>
      </rPr>
      <t xml:space="preserve">., Beginnings of the Neolithic in southeast Europe: the early Neolithic sequence and absolute dates from Dzuljunica-Smardes (Bulgaria), </t>
    </r>
    <r>
      <rPr>
        <i/>
        <sz val="11"/>
        <color theme="1"/>
        <rFont val="Calibri"/>
        <family val="2"/>
        <scheme val="minor"/>
      </rPr>
      <t xml:space="preserve">Docum. Praehist. </t>
    </r>
    <r>
      <rPr>
        <b/>
        <sz val="11"/>
        <color theme="1"/>
        <rFont val="Calibri"/>
        <family val="2"/>
        <scheme val="minor"/>
      </rPr>
      <t>41</t>
    </r>
    <r>
      <rPr>
        <sz val="11"/>
        <color theme="1"/>
        <rFont val="Calibri"/>
        <family val="2"/>
        <scheme val="minor"/>
      </rPr>
      <t>, 51-77 (2014).</t>
    </r>
  </si>
  <si>
    <r>
      <rPr>
        <b/>
        <sz val="14"/>
        <color theme="1"/>
        <rFont val="Calibri"/>
        <family val="2"/>
        <scheme val="minor"/>
      </rPr>
      <t>Region</t>
    </r>
    <r>
      <rPr>
        <sz val="14"/>
        <color theme="1"/>
        <rFont val="Calibri"/>
        <family val="2"/>
        <scheme val="minor"/>
      </rPr>
      <t xml:space="preserve">  [greeen blackground denotes inland route and blue background sea route]</t>
    </r>
  </si>
  <si>
    <r>
      <rPr>
        <b/>
        <sz val="14"/>
        <color theme="1"/>
        <rFont val="Calibri"/>
        <family val="2"/>
        <scheme val="minor"/>
      </rPr>
      <t xml:space="preserve">Region </t>
    </r>
    <r>
      <rPr>
        <sz val="14"/>
        <color theme="1"/>
        <rFont val="Calibri"/>
        <family val="2"/>
        <scheme val="minor"/>
      </rPr>
      <t xml:space="preserve"> [greeen blackground denotes inland route and blue background sea route]</t>
    </r>
  </si>
  <si>
    <t>Number of  Y nodes      (d = 50km):  col F/50km</t>
  </si>
  <si>
    <t>Number of  X nodes     (d = 50km): col I/50 km</t>
  </si>
  <si>
    <t>SELECTED INTEGER Number of Y nodes      (d = 50km)</t>
  </si>
  <si>
    <t>SELECTED INTEGER Number of X nodes      (d = 50km)</t>
  </si>
  <si>
    <t>Number of Y nodes     (d = 70km)</t>
  </si>
  <si>
    <t>Number of X nodes      (d = 70km)</t>
  </si>
  <si>
    <t>SELECTED INTEGER Number of  Y nodes    (d = 70km)</t>
  </si>
  <si>
    <t>SELECTED INTEGER Number of  X nodes      (d = 70km)</t>
  </si>
  <si>
    <t>Lat.*  (from Data S1)</t>
  </si>
  <si>
    <t>Long.* (from Data S1)</t>
  </si>
  <si>
    <t xml:space="preserve">     display extremely intense interactions between HGs and farmers, presumably due to exceptional fishing resources that are not typical of the Balkans (S. Shennan, The first farmers of </t>
  </si>
  <si>
    <t>Newgrange, site Z</t>
  </si>
  <si>
    <t xml:space="preserve">† In the main paper we have excluded this region because it has been argued that Megalithic tombs are not representative of the whole population but of specific families. For the same reason, Ireland has been excluded (Sánchez-Quinto et al., PNAS </t>
  </si>
  <si>
    <t xml:space="preserve">† In the main paper we have excluded this region because it has been argued that Megalithic tombs are not representative of the whole population but of specific families (Sánchez-Quinto et al., PNAS 2019; Cassidy et al., Nature 2000). See Sec. </t>
  </si>
  <si>
    <t xml:space="preserve"> Serbia</t>
  </si>
  <si>
    <t>BG72</t>
  </si>
  <si>
    <t>CAK534</t>
  </si>
  <si>
    <t>Carrowkeel534</t>
  </si>
  <si>
    <t>Baunogenasraid72</t>
  </si>
  <si>
    <t>Cist</t>
  </si>
  <si>
    <t>Baunogenasraid</t>
  </si>
  <si>
    <t>Passage Tomb. No dates reported, so we have used the  average of other dates at this site.</t>
  </si>
  <si>
    <t>Sk.4/799</t>
  </si>
  <si>
    <t>Sk.1/880</t>
  </si>
  <si>
    <r>
      <t xml:space="preserve">Cassidy, L. M., et al. Neolithic and Bronze Age migration to Ireland and establishment of the insular Atlantic genome.  </t>
    </r>
    <r>
      <rPr>
        <i/>
        <sz val="11"/>
        <color theme="1"/>
        <rFont val="Calibri"/>
        <family val="2"/>
        <scheme val="minor"/>
      </rPr>
      <t>PNAS.</t>
    </r>
    <r>
      <rPr>
        <b/>
        <sz val="11"/>
        <color theme="1"/>
        <rFont val="Calibri"/>
        <family val="2"/>
        <scheme val="minor"/>
      </rPr>
      <t>113</t>
    </r>
    <r>
      <rPr>
        <sz val="11"/>
        <color theme="1"/>
        <rFont val="Calibri"/>
        <family val="2"/>
        <scheme val="minor"/>
      </rPr>
      <t xml:space="preserve"> (2), 368-373 (2016).  Dates and haplogroups appear in the main paper, Table 1, and SI Appendix, S1.1.</t>
    </r>
  </si>
  <si>
    <t xml:space="preserve">** Apparently no dates neither the archaeological phase were reported, so it is not clear to us wether this individual is Neolithic or Mesolithic. </t>
  </si>
  <si>
    <t xml:space="preserve">Within the time interval of the Mesolithic/Neolithic transition phase† (6150-5950 cal BCE) according to Boric, quoted by Mathieson 2018, SI p. 33. Hofmanová et al. 2022: date 5940 + - 72 cal BCE. </t>
  </si>
  <si>
    <t xml:space="preserve"> Within the time interval of the Mesolithic/Neolithic transition phase† (6150-5950 cal BCE) according to Boric, quoted by Mathieson 2018, SI p. 33. Blöcher 2019: mt haplogroup T2e.</t>
  </si>
  <si>
    <t xml:space="preserve"> Within the time interval of the Mesolithic/Neolithic transition phase† (6150-5950 cal BCE) according to Boric, quoted by Mathieson 2018, SI p. 33. Blöcher 2019: mt haplogroup U5a2d.</t>
  </si>
  <si>
    <t>Within the time interval of the Mesolithic/Neolithic transition phase† (6150-5950 cal BCE) according to Boric, quoted by Mathieson 2018, SI p. 33. Blöcher 2019: mt haplogroup H</t>
  </si>
  <si>
    <t>Hofmanová et al. 2022 assign this individual to the  Mesolithic/Neolithic transition phase in table 1, but they do not include him in Supp. Data 1.</t>
  </si>
  <si>
    <t>Boric &amp; Dimitrijevic 2007</t>
  </si>
  <si>
    <r>
      <t xml:space="preserve">Boric, D. &amp; Dimitrijevic, V. When did the ‘Neolithic package’ reach Lepenski Vir? Radiometric and faunal evidence. </t>
    </r>
    <r>
      <rPr>
        <i/>
        <sz val="11"/>
        <color theme="1"/>
        <rFont val="Calibri"/>
        <family val="2"/>
        <scheme val="minor"/>
      </rPr>
      <t>Docum. Praehist.</t>
    </r>
    <r>
      <rPr>
        <sz val="11"/>
        <color theme="1"/>
        <rFont val="Calibri"/>
        <family val="2"/>
        <scheme val="minor"/>
      </rPr>
      <t xml:space="preserve"> </t>
    </r>
    <r>
      <rPr>
        <b/>
        <sz val="11"/>
        <color theme="1"/>
        <rFont val="Calibri"/>
        <family val="2"/>
        <scheme val="minor"/>
      </rPr>
      <t>34</t>
    </r>
    <r>
      <rPr>
        <sz val="11"/>
        <color theme="1"/>
        <rFont val="Calibri"/>
        <family val="2"/>
        <scheme val="minor"/>
      </rPr>
      <t>, 53-72 (2007).</t>
    </r>
  </si>
  <si>
    <t>The following individuals should not be described as Neolithic because there were no domesticated animals neither crops at Lepenski Vir when they lived (see Boric &amp; Dimitrijevic 2007):</t>
  </si>
  <si>
    <t>The following individuals should not be described as Neolithic because no dates neither period were reported**:</t>
  </si>
  <si>
    <r>
      <t xml:space="preserve">All samples are either cereal seeds or bones from humans or domesticated animals, thus highly reliable (see Zilhao J, Time is on my side..., in </t>
    </r>
    <r>
      <rPr>
        <i/>
        <sz val="11"/>
        <rFont val="Calibri"/>
        <family val="2"/>
        <scheme val="minor"/>
      </rPr>
      <t>The Dynamics of Neolithisation of Europe</t>
    </r>
    <r>
      <rPr>
        <sz val="11"/>
        <rFont val="Calibri"/>
        <family val="2"/>
        <scheme val="minor"/>
      </rPr>
      <t xml:space="preserve">, Oxbow, 2011, and Bernabeu J, Una visión actual..., in </t>
    </r>
    <r>
      <rPr>
        <i/>
        <sz val="11"/>
        <rFont val="Calibri"/>
        <family val="2"/>
        <scheme val="minor"/>
      </rPr>
      <t>El abric de la Flaguera</t>
    </r>
    <r>
      <rPr>
        <sz val="11"/>
        <rFont val="Calibri"/>
        <family val="2"/>
        <scheme val="minor"/>
      </rPr>
      <t>, Diput. Alicante, 2006).</t>
    </r>
  </si>
  <si>
    <t>At the end of each region its number (as used in the main paper, Figs. 2-4), name, average latitude, average longitude and average cal BCE date over its individuals are shown using red ink and yellow background.</t>
  </si>
  <si>
    <r>
      <t xml:space="preserve">[G] Pinhasi, R., Fort, J. &amp; Ammerman, A. J., "Tracing the origin and spread of agriculture in Europe", </t>
    </r>
    <r>
      <rPr>
        <i/>
        <sz val="11"/>
        <color theme="1"/>
        <rFont val="Calibri"/>
        <family val="2"/>
        <scheme val="minor"/>
      </rPr>
      <t xml:space="preserve">PLoS Biol., </t>
    </r>
    <r>
      <rPr>
        <sz val="11"/>
        <color theme="1"/>
        <rFont val="Calibri"/>
        <family val="2"/>
        <scheme val="minor"/>
      </rPr>
      <t xml:space="preserve">vol. 3, no. e410, 2005. </t>
    </r>
  </si>
  <si>
    <r>
      <t xml:space="preserve">[H] Betti, L., et al., "Climate shaped how Neolithic farmers and European hunter-gatherers interacted after a major slowdown from 6,100 BCE to 4,500 BCE", </t>
    </r>
    <r>
      <rPr>
        <i/>
        <sz val="11"/>
        <color theme="1"/>
        <rFont val="Calibri"/>
        <family val="2"/>
        <scheme val="minor"/>
      </rPr>
      <t xml:space="preserve">Nature human behaviour, </t>
    </r>
    <r>
      <rPr>
        <sz val="11"/>
        <color theme="1"/>
        <rFont val="Calibri"/>
        <family val="2"/>
        <scheme val="minor"/>
      </rPr>
      <t xml:space="preserve">vol. 4, pp. 1004-1010, 2020. </t>
    </r>
  </si>
  <si>
    <t xml:space="preserve">       (about 4,200 cal BCE) [G,H]. It is also worth to mention that individual Gyvakari1 reported by Mittnik et al. 2018 is not a hunter-gatherer but a farmer from the late Neolithic Coded Ware/Battle Axe culture (see Ref. [17], SI, p. 30).</t>
  </si>
  <si>
    <t>Iron Gates Mesolithic</t>
  </si>
  <si>
    <t>DEB9. Dates from https://indo-european.eu/ancient-dna/ (accessed 10 August 2022).</t>
  </si>
  <si>
    <r>
      <t xml:space="preserve">KAR16. KAR16a in Brotherton et al., </t>
    </r>
    <r>
      <rPr>
        <i/>
        <sz val="8"/>
        <color theme="1"/>
        <rFont val="Calibri"/>
        <family val="2"/>
        <scheme val="minor"/>
      </rPr>
      <t>Nature Comm.</t>
    </r>
    <r>
      <rPr>
        <sz val="8"/>
        <color theme="1"/>
        <rFont val="Calibri"/>
        <family val="2"/>
        <scheme val="minor"/>
      </rPr>
      <t xml:space="preserve"> (2013). Dates from Lipson et al. 2017.</t>
    </r>
  </si>
  <si>
    <r>
      <t>KAR6. KAR6a in  Brotherton et al.,</t>
    </r>
    <r>
      <rPr>
        <i/>
        <sz val="8"/>
        <color theme="1"/>
        <rFont val="Calibri"/>
        <family val="2"/>
        <scheme val="minor"/>
      </rPr>
      <t xml:space="preserve"> Nature Comm.</t>
    </r>
    <r>
      <rPr>
        <sz val="8"/>
        <color theme="1"/>
        <rFont val="Calibri"/>
        <family val="2"/>
        <scheme val="minor"/>
      </rPr>
      <t xml:space="preserve"> (2013).  Dates from Lipson et al. 2017.</t>
    </r>
  </si>
  <si>
    <t>H  inland route</t>
  </si>
  <si>
    <t>U1</t>
  </si>
  <si>
    <t>row</t>
  </si>
  <si>
    <t>* Fernandez et al. 2014 report 5 individuals from Tell Ramad but this site is located in southern Syria (very close to southern Lebanon), i.e., in the southern Levant. This region is outside Northern Mesopotamia. Morevoer, the Southern Levant is not considered because those populations were not involved in the spread of the Neolithic to Europe (Sec. S1-E).</t>
  </si>
  <si>
    <t>*** Lazaridis et al. 2022 report 4 individuals from the sites of Shanidar and Bestansur (northeastern Iraq, longitudes &gt; 44º) but include them in the Zagros group, not in Northern Mesopotamia. The Zagros region is not considered because those populations were not involved in the spread of the Neolithic to Europe (Sec. S1E).</t>
  </si>
  <si>
    <t>† Individuals from the site of Melak Preslavets are listed in a separate region below because archaeologists and also geneticists have shown that it displays extremely intense interactions between HGs and farmers, presumably due to very special ecological features. See Sec. S1-E and Mathieson 2018.</t>
  </si>
  <si>
    <t>† The Iron Gates is a separate region below because archaeologists and also geneticists have shown that it displays extremely intense interactions between HGs and farmers (see Sec. S1-E and Mathieson 2018), which are presumably due to its exceptional fishing resources and not typical of the Balkans (see Shennan 2018, p. 72-73).</t>
  </si>
  <si>
    <t xml:space="preserve">  S1-E  for a detailed discussion.</t>
  </si>
  <si>
    <t>Inland route</t>
  </si>
  <si>
    <t xml:space="preserve">4 Bulgaria (except Malak Preslavets) </t>
  </si>
  <si>
    <t>5 Romania and  Serbia (except Iron Gates)</t>
  </si>
  <si>
    <t>km</t>
  </si>
  <si>
    <t>%K</t>
  </si>
  <si>
    <t>%T2</t>
  </si>
  <si>
    <t>%N1a</t>
  </si>
  <si>
    <t>% J</t>
  </si>
  <si>
    <t>% H</t>
  </si>
  <si>
    <t>ALL NEO</t>
  </si>
  <si>
    <t>ALL HG</t>
  </si>
  <si>
    <t>% ALL NEO (Fig. S19)</t>
  </si>
  <si>
    <t>% ALL NEO but K</t>
  </si>
  <si>
    <t>%NEO + %HG</t>
  </si>
  <si>
    <t>HG haplogroups</t>
  </si>
  <si>
    <t>Neolithic haplogroups</t>
  </si>
  <si>
    <t>K1b2 [8]</t>
  </si>
  <si>
    <t>[8] Subclade K1b2 has been never found in early European farmers, the only possible exception being individual LEPE28 from Lepenski Vir (Serbia) but no date was reported, so it is not clear to us if he/she was Mesolithic or Neolithic</t>
  </si>
  <si>
    <t xml:space="preserve">      reported by Mittnik et al. 2018 is not a hunter-gatherer but a farmer from the late Neolithic Coded Ware/Battle Axe culture (see Ref. [17], SI, p. 30).</t>
  </si>
  <si>
    <t xml:space="preserve">  2019;  Cassidy et al., Nature 2000). See Sec. S1-E for a detailed discussion.</t>
  </si>
  <si>
    <t>% G2a</t>
  </si>
  <si>
    <t>% I2a</t>
  </si>
  <si>
    <t>Sea route</t>
  </si>
  <si>
    <t>freq</t>
  </si>
  <si>
    <t>min. 80% CL</t>
  </si>
  <si>
    <t>number of individuals</t>
  </si>
  <si>
    <t>see Sec. S10</t>
  </si>
  <si>
    <t>On hapl. H,</t>
  </si>
  <si>
    <t>Palencia-Madrid 2017</t>
  </si>
  <si>
    <t>S.12N</t>
  </si>
  <si>
    <t>S.11N</t>
  </si>
  <si>
    <t>Palencia-Madrid L. et al, Ancient mitochondrial lineages support the prehistoric
maternal root of Basques in Northern Iberian Peninsula. Eur. J. Hum. Genet. 25, 631–636 (2017)</t>
  </si>
  <si>
    <t>H. Chandler, B.  Sykes, J. Zilhao. Using ancient DNA to examine genetic continuity at the Mesolithic-Neolithic transition in Portugal. in ARIAS, P.; ONTAÑÓN, R.; GARCÍA-MONCÓ, C. (eds.) Actas del tercer congreso del Neolítico en la Península Ibérica (2005), Instituto Internacional de Investigaciones Prehistóricas de Cantabria, Santader (Spain), p. 781-786.</t>
  </si>
  <si>
    <t>Lacan 2011 (PhD thesis)</t>
  </si>
  <si>
    <t>Lacan, Marie (2011). La néolithisation du bassin méditerranéen : apports de l'ADN ancien.Université de Toulouse. PhD thesis</t>
  </si>
  <si>
    <t>S.11N.III.11.1</t>
  </si>
  <si>
    <t>S.12N.IV.11.1</t>
  </si>
  <si>
    <t xml:space="preserve">S11 is a HG according to  the database https://indo-european.eu/ancient-dna/ (accessed Feb. 6th, 2021), which cites Lacan (PhD thesis, 2011). However S.11N (archaeological label S.11N.III.11.1), also with haplogorup H1, is dated to the Bronze Age according to Palencia-Madrid et al. (2017). </t>
  </si>
  <si>
    <t>S12 has haplogorup U5,  is dated 11500 cal BC (14000-9000 cal BC) and is assigned to the Palaeolithic-Magdalenian in https://indo-european.eu/ancient-dna/ (accessed Feb. 6th, 2021), which cites Lacan (PhD thesis, 2011). However S12.N (archaeological label S.12N.IV.11.1) has haplogroup U5a2a, is dated 5210-4950 cal BC and assigned to the Mesolithic according to Palencia-Madrid et al. (2017).</t>
  </si>
  <si>
    <t>Palencia-Madrid et al. 2017</t>
  </si>
  <si>
    <t>HGs in our 16 regions (Data S5)</t>
  </si>
  <si>
    <t>max. 80% CL</t>
  </si>
  <si>
    <t>haplogroup G2a</t>
  </si>
  <si>
    <t xml:space="preserve">haplogroup I2a      </t>
  </si>
  <si>
    <t>The cells on yellow background have been used to plot the squares and error bars in Fig. 5.</t>
  </si>
  <si>
    <t xml:space="preserve">* The site of Melak Preslavets has been excluded in our main paper because both archaeologists and geneticists have shown that it displays extremely intense interactions between HGs and farmers, presumably due to very special ecological features. See </t>
  </si>
  <si>
    <t>Sec. S1-E and Mathieson 2018.</t>
  </si>
  <si>
    <t xml:space="preserve">* In the main paper we have excluded this region because both archaeologists and geneticists have shown that it displays extremely intense interactions between HGs and farmers (see Sec. S1-E and Mathieson 2018), which are presumably due to its </t>
  </si>
  <si>
    <t xml:space="preserve">   exceptional fishing resources and not typical of the Balkans (see Shennan 2018, p. 72-73).</t>
  </si>
  <si>
    <t>Haplogroup</t>
  </si>
  <si>
    <t>%</t>
  </si>
  <si>
    <t>Details in Supp. Methods, Sec. S1-D.</t>
  </si>
  <si>
    <t>H sea route</t>
  </si>
  <si>
    <t>total</t>
  </si>
  <si>
    <t xml:space="preserve">6 HGs are U. 1 HG in Germany is U/K. </t>
  </si>
  <si>
    <t># of HGs of group 2 (see Sec. S1-D) in our 16 regions</t>
  </si>
  <si>
    <t xml:space="preserve"># of HGs in our 16 regions </t>
  </si>
  <si>
    <t>1 farmer along the sea route (Spain) is I.</t>
  </si>
  <si>
    <t>% ALL HG</t>
  </si>
  <si>
    <t>% ALL NEO (Fig. S21)</t>
  </si>
  <si>
    <t>11 Greece and N. Macedonia</t>
  </si>
  <si>
    <t>regions 11-16</t>
  </si>
  <si>
    <t>% ALL NEO (Fig. S23)</t>
  </si>
  <si>
    <t>HG haplogroups are defined as non-Neolithic haplogroups present in HGs.</t>
  </si>
  <si>
    <t>There are 185 HGs in the inland route (Data S5), so (2/185) ·100 = 1.1%. For a discussion on haplogroup H, see Sec. S10.</t>
  </si>
  <si>
    <t>The first yellow column (% of all Neolithic haplogroups) of the next table is plotted in Fig. S21.</t>
  </si>
  <si>
    <t>The first yellow column (% of all Neolithic haplogroups) of the next table is plotted in Fig. S19.</t>
  </si>
  <si>
    <t>The first yellow column (% of all Neolithic haplogroups) of this table is plotted in Fig. S23.</t>
  </si>
  <si>
    <t xml:space="preserve">haplogroup I2a (not Neolithic, see below)      </t>
  </si>
  <si>
    <t>haplogroup G2a (Neolithic, see below)</t>
  </si>
  <si>
    <t>Thus it was absent in HGs, so it is Neolithic.</t>
  </si>
  <si>
    <t>Thus it was present in many HGs, so it is NOT Neolithic.</t>
  </si>
  <si>
    <t>The rows on red background have not been used in Fig. 5 because they have too few individuals (N&lt;10).</t>
  </si>
  <si>
    <t>99% cal BCE [0]</t>
  </si>
  <si>
    <t>1%  cal BCE [0]</t>
  </si>
  <si>
    <t>median cal     BCE      [0]</t>
  </si>
  <si>
    <t>* The date used for Abu Hureyra (8,718 cal BCE) is not a median. It has been determined as explained in Methods, Initial conditions in our main paper and Supp. Methods, Sec. S2.</t>
  </si>
  <si>
    <t>[0] Dates of regions B-J have been calibrated using OxCal 4.4 and IntCal 20 (23/04/2024). Those from regions K-P are not included in Fig. 1b and were calibrated previously with the OxCal default option (95.5% CL).</t>
  </si>
  <si>
    <t>99% error    yr</t>
  </si>
  <si>
    <t>1%  error  yr</t>
  </si>
  <si>
    <r>
      <t xml:space="preserve">GENETIC LOCATIONS. </t>
    </r>
    <r>
      <rPr>
        <sz val="11"/>
        <color theme="1"/>
        <rFont val="Calibri"/>
        <family val="2"/>
        <scheme val="minor"/>
      </rPr>
      <t>Mean distances of regions with mt DNA data (used in Figs. 3-4, error bars), and numbers of generations and nodes (used in the simulations reported in Figs. 3-4, lines).</t>
    </r>
  </si>
  <si>
    <t>Time (years BCE)** from Supp. Table 1</t>
  </si>
  <si>
    <t>Method used to compute distance         (see Supp. Methods, Sec. S3)</t>
  </si>
  <si>
    <r>
      <t xml:space="preserve">Number of   X nodes           (d = 50km)   </t>
    </r>
    <r>
      <rPr>
        <sz val="10"/>
        <color theme="1"/>
        <rFont val="Calibri"/>
        <family val="2"/>
        <scheme val="minor"/>
      </rPr>
      <t>[see sheet Calculations of  Supp. Table 2]</t>
    </r>
  </si>
  <si>
    <r>
      <t xml:space="preserve">Number of   Y nodes           (d = 70km)   </t>
    </r>
    <r>
      <rPr>
        <sz val="10"/>
        <color theme="1"/>
        <rFont val="Calibri"/>
        <family val="2"/>
        <scheme val="minor"/>
      </rPr>
      <t>[see sheet Calculations of  Supp. Table 2]</t>
    </r>
  </si>
  <si>
    <r>
      <t xml:space="preserve">Number of   X nodes           (d = 70km)   </t>
    </r>
    <r>
      <rPr>
        <sz val="10"/>
        <color theme="1"/>
        <rFont val="Calibri"/>
        <family val="2"/>
        <scheme val="minor"/>
      </rPr>
      <t>[see sheet Calculations of  Supp. Table 2]</t>
    </r>
  </si>
  <si>
    <t xml:space="preserve">     have shown that they display extremely intense interactions between HGs and farmers, presumably due to exceptional fishing resources, which are not typical of the Balkans (S. Shennan, </t>
  </si>
  <si>
    <r>
      <t xml:space="preserve">Number of   Y nodes            (d = 50km)   </t>
    </r>
    <r>
      <rPr>
        <sz val="10"/>
        <color theme="1"/>
        <rFont val="Calibri"/>
        <family val="2"/>
        <scheme val="minor"/>
      </rPr>
      <t>[see sheet Calculations of  Supp. Table 2]</t>
    </r>
  </si>
  <si>
    <t xml:space="preserve">     The first farmers of Europe, Cambridge Univ. Press, 2018, p. 72-73). See also Supplementary Methods, Sec. S1-E and Mathieson et al. 2018.</t>
  </si>
  <si>
    <r>
      <t xml:space="preserve">GENETIC LOCATIONS. </t>
    </r>
    <r>
      <rPr>
        <sz val="14"/>
        <color theme="1"/>
        <rFont val="Calibri"/>
        <family val="2"/>
        <scheme val="minor"/>
      </rPr>
      <t>Calculations of the numbers of nodes given in Supplementary Table 2 and used in the simulations reported as lines in Figs. 3-4 and Supplementy Figs. 7-11.</t>
    </r>
  </si>
  <si>
    <t>Lat.* (from Supp. Table 1)</t>
  </si>
  <si>
    <t>Long.* (from Supp. Table 1)</t>
  </si>
  <si>
    <t xml:space="preserve">   intense interactions between HGs and farmers, presumably due to exceptional fishing resources, which are not typical of the Balkans (S. Shennan, The first farmers of Europe, Cambridge Univ. Press, 2018, p. 72-73). See also </t>
  </si>
  <si>
    <t xml:space="preserve">   Supplementary Methods, Sec. S1-E and Mathieson et al. 2018.</t>
  </si>
  <si>
    <t># of K individuals [from Supp. Table 1]</t>
  </si>
  <si>
    <t>total # of individuals [from Supp. Table 1]</t>
  </si>
  <si>
    <t>Distance  to Abu Hureyra (km)        [from Suppl. Table 2]</t>
  </si>
  <si>
    <t xml:space="preserve">     Europe, Cambridge Univ. Press, 2018, p. 72-73). See also Supp. Methods, Sec. S1-E and Mathieson 2018.</t>
  </si>
  <si>
    <r>
      <t xml:space="preserve">Fraction of the population with haplogroup K in each region and 80% CL ranges, obtained from Suppl. Table 1 by bootstrap resampling. Values used in </t>
    </r>
    <r>
      <rPr>
        <sz val="11"/>
        <color theme="1"/>
        <rFont val="Calibri"/>
        <family val="2"/>
        <scheme val="minor"/>
      </rPr>
      <t>Figs. 3-4, error bars.</t>
    </r>
  </si>
  <si>
    <r>
      <t xml:space="preserve">ARCHAEOLOGICAL REGIONAL DATA. </t>
    </r>
    <r>
      <rPr>
        <sz val="14"/>
        <color theme="1"/>
        <rFont val="Calibri"/>
        <family val="2"/>
        <scheme val="minor"/>
      </rPr>
      <t>Distance and date to the oldest Neolithic site in each region (error bars in Figs. 1b and S6b) and numbers of generations and nodes used in the simulations (Fig. 1b, lines).</t>
    </r>
  </si>
  <si>
    <r>
      <t xml:space="preserve">Number of   Y nodes     (d = 50km)   </t>
    </r>
    <r>
      <rPr>
        <sz val="10"/>
        <color theme="1"/>
        <rFont val="Calibri"/>
        <family val="2"/>
        <scheme val="minor"/>
      </rPr>
      <t>[Calculations of Supp. Table 4]</t>
    </r>
  </si>
  <si>
    <r>
      <t xml:space="preserve">Number of X nodes    (d = 50km)     </t>
    </r>
    <r>
      <rPr>
        <sz val="10"/>
        <color theme="1"/>
        <rFont val="Calibri"/>
        <family val="2"/>
        <scheme val="minor"/>
      </rPr>
      <t xml:space="preserve"> [Calculations of Supp. Table 4]</t>
    </r>
  </si>
  <si>
    <r>
      <t xml:space="preserve">Number of Y nodes    (d = 70km)   </t>
    </r>
    <r>
      <rPr>
        <sz val="10"/>
        <color theme="1"/>
        <rFont val="Calibri"/>
        <family val="2"/>
        <scheme val="minor"/>
      </rPr>
      <t>[Calculations of Supp. Table 4]</t>
    </r>
  </si>
  <si>
    <r>
      <t xml:space="preserve">Number of X nodes     (d = 70km)  </t>
    </r>
    <r>
      <rPr>
        <sz val="10"/>
        <color theme="1"/>
        <rFont val="Calibri"/>
        <family val="2"/>
        <scheme val="minor"/>
      </rPr>
      <t>[Calculations of Supp. Table 4]</t>
    </r>
  </si>
  <si>
    <r>
      <t xml:space="preserve">ARCHAEOLOGICAL LOCATIONS. </t>
    </r>
    <r>
      <rPr>
        <sz val="14"/>
        <color theme="1"/>
        <rFont val="Calibri"/>
        <family val="2"/>
        <scheme val="minor"/>
      </rPr>
      <t>Calculations of the numbers of nodes given in Supplementary Table 4 and used in the simulations reported as lines in Fig. 1b.</t>
    </r>
  </si>
  <si>
    <t>Prepared by J. Fort and J. Pérez-Losada using the original sources and the database by Carlos Quiles https://indo-european.eu/ancient-dna/ (accessed 10 August 2022).</t>
  </si>
  <si>
    <t>Database of hunter-gatherers (HGs)</t>
  </si>
  <si>
    <t xml:space="preserve">     first observation implies that subclade K1e is clearly pre-Neolithic in Scandinavia, and the second one that subclade K1e is part of the cline of haplogroup K analyzed and modelled by us.</t>
  </si>
  <si>
    <t xml:space="preserve">     (see Supp. Table 1, Sec. D, Iron Gates gorge). Note that this individual is dated 6075-5920 cal BCE, well before the arrival of the Neolithic to Lithuania (about 4,200 cal BCE) [G,H]. It is also worth to mention that individual Gyvakari1 </t>
  </si>
  <si>
    <t xml:space="preserve">       (Serbia) but no date was reported, so it is not clear to us if he/she was Mesolithic or Neolithic (see Supp. Table 1, Sec. D, Iron Gates gorge). Note that this individual is dated 6075-5920 cal BCE, well before the arrival of the Neolithic to Lithuania</t>
  </si>
  <si>
    <t xml:space="preserve">       not affect the subclades of haplogroup K that were introduced into Europe by the Neolithic population wave of advance.</t>
  </si>
  <si>
    <t>defined as those haplogroups that are not appreciably transferred from HGs into populations of farmers (see Supp. Methods, Sec. S1-D).</t>
  </si>
  <si>
    <t>1 farmer in region 6 is D1/G1a1. There is not any D1 neither G1a1 HG in Supplementary Data 5.</t>
  </si>
  <si>
    <t xml:space="preserve">In agreement with the definition above of Neolithic haplogroups, HG haplogroups are those that satisfy one of the following two conditions: 1) they are present in  </t>
  </si>
  <si>
    <t xml:space="preserve"> All 6 HGs are M. 1 farmer in region 6 is M/R24. If it were R24, the frequency of Neolithic haplogroups in region 6 (Supp. Table7) would change only from 93.0% to 93.8%.</t>
  </si>
  <si>
    <t>Frequencies calculated from Supp. Table 1.</t>
  </si>
  <si>
    <t>J. Fort</t>
  </si>
  <si>
    <t>Supplementary Data 6. Haplogroups in HGs</t>
  </si>
  <si>
    <r>
      <t xml:space="preserve">Supplementary Data 1. </t>
    </r>
    <r>
      <rPr>
        <sz val="16"/>
        <color theme="1"/>
        <rFont val="Calibri"/>
        <family val="2"/>
        <scheme val="minor"/>
      </rPr>
      <t>Neolithic mtDNA database with data grouped by regional cultures</t>
    </r>
  </si>
  <si>
    <t>References in Supplementary Data 1</t>
  </si>
  <si>
    <t>Supplementary Data 2</t>
  </si>
  <si>
    <t>Calculations of Supplementary Data 2</t>
  </si>
  <si>
    <t>Supplementary Data 3</t>
  </si>
  <si>
    <t>Supplementary Data 4</t>
  </si>
  <si>
    <t>Calculations of Supplementary Data 4</t>
  </si>
  <si>
    <t>Supplementary Data 5</t>
  </si>
  <si>
    <t>References in Supplementary Data 5</t>
  </si>
  <si>
    <t>Supplementary Data 7. Frequencies of Neolithic and HG haplogroups in early farmers</t>
  </si>
  <si>
    <t>Supplementary Data 8. Frequencies of Y-chromosome haplogroups G2a and I2a in early farmers and HGs</t>
  </si>
  <si>
    <t>* Latitudes and longitudes are means over the individuals whose mt DNA haplogroup has been determined in the region considered (see Supplementary Data 1).</t>
  </si>
  <si>
    <t>** Times (years BCE) are means over the individuals whose mt DNA haplogroup has been determined in the region considered (see Supplementary Data 1).</t>
  </si>
  <si>
    <t xml:space="preserve">† Individuals from the site of Melak Preslavets (Bulgaria) and the Iron Gates (Serbia) are listed as separate regions in Supplementary Data 1 because archaeologists and geneticists </t>
  </si>
  <si>
    <t>* latitudes and longitudes are means over the individuals whose mt DNA haplogroup has been determined in the region considered (see Supplementary Data 1).</t>
  </si>
  <si>
    <t xml:space="preserve">† Individuals from the site of Melak Preslavets (Bulgaria) and the Iron Gates (Serbia) are listed as separate regions in Supplementary Data 1 because archaeologists and geneticists have shown that they display extremely </t>
  </si>
  <si>
    <t>† Individuals from the site of Melak Preslavets (Bulgaria) and the Iron Gates (Serbia) are listed as separate regions in Suppl. Data 1 because archaeologists and geneticists have shown that they</t>
  </si>
  <si>
    <t>References and footnotes: please see the previous sheet Supplementary Data 4.</t>
  </si>
  <si>
    <t>This table is not necessary for the simulations and figures of our main paper. It has been used in Sec. S1-D and Supp. Data 6.</t>
  </si>
  <si>
    <t>[3] Subclade K1c has been never found among early Neolithic farmers to date (see Supp. Data1). Thus this Mesolithic individual does not affect the subclades of haplogroup K that were introduced into Europe by the Neolithic population</t>
  </si>
  <si>
    <t>[6] These 3 HGs are clearly older than the first farmers in Denmark, because the latter are dated c.4,000 BC [E]. Subclade K1e is also displayed by 5 early farmers in Sweden that are included in our Neolithic database (Supp. Data 1). The</t>
  </si>
  <si>
    <t xml:space="preserve">     Italy and 3 in England) that are included in our Neolithic database (Supp. Data 1). The first observation implies that subclade K2b is clearly pre-Neolithic in central Antaolia, and the second one that subclade K2b is part of the cline of</t>
  </si>
  <si>
    <t>REGIONS CONSIDERED IN OUR ANALYSIS (please see Supplementary Data 1, Secs. A, B and C). This list includes 254 HGs</t>
  </si>
  <si>
    <t>REGIONS NOT CONSIDERED IN OUR ANALYSIS (please see Supplementary Data 1, Sec. D). This list includes 149 HGs</t>
  </si>
  <si>
    <t>[10] This HG is not in our area of study (Upper Mesopotamia, Anatolia, central and western Europe). Moreover, subgroup K3 has been never found among Neolithic farmers to date (Supp. Data 1).</t>
  </si>
  <si>
    <t>[13] This HG is not in the regions considered by us (see Supp. Data 1, Sec. D, Iron Gates gorge). Moreover, subclade K1c has been never found among early Neolithic farmers to date (see Supp. Data 1), so this Mesolithic individual does not affect</t>
  </si>
  <si>
    <t>[14] This HG is not in the regions considered by us (see Supp. Data 1, Sec. D, Iron Gates gorge). Moreover, subclade K1f has been never found among early Neolithic farmers to date (see Supp. Data 1), so this Mesolithic individual does not affect</t>
  </si>
  <si>
    <t>[15] This HG is not in the regions considered by us (see Supp. Data 1, Sec. D, Iron Gates gorge). Moreover, he is dated 6061-5841 cal BCE, which is contemporary with (or slightly later than) the Mesolithic-Neolithic transition at Padina (6100-</t>
  </si>
  <si>
    <t>[16] This HG is not in the regions considered by us (please see Supp. Data 1, Sec. D, Iron Gates gorge).</t>
  </si>
  <si>
    <t xml:space="preserve">[17] This HG is not in the regions considered by us (please see Supp. Data 1, Sec. D, Iron Gates gorge). Moreover, subclade K1+16362 has been never found among early Neolithic farmers to date (see Supp. Data 1), so this Mesolithic individual does </t>
  </si>
  <si>
    <t>Neolithic haplogroups and HG haplogroups are defined and identified in Supp. Data 6.</t>
  </si>
  <si>
    <t>·For the purposes of the present paper, Neolithic haplogroups are defined as those found in early farmers (Supp. Data 1) and with frequency about 2% or less in HGs. Thus they can be also</t>
  </si>
  <si>
    <t>·The first table is used to identify Neolithic haplogroups (as defined in the prevous line), which are used in Supp. Data 7. Haplogroups on yellow in the second table are also used in Supp. Data 7.</t>
  </si>
  <si>
    <t xml:space="preserve">·Tables computed from Supp. Data 5, first part, i.e., for the 16 regions considered in our analysis (254 HGs). </t>
  </si>
  <si>
    <t>·The 16 regions analyzed by us are listed in Figs. 2-3 in the main paper and also in Supplementrary Data 1, Secs. A, B and C.</t>
  </si>
  <si>
    <t>There are 69 HGs in the sea route (Supp. Data 5), so (4/69) ·100 = 5.8%. For a discussion on haplogroup H, see Sec. S10.</t>
  </si>
  <si>
    <t>Not present in early farmers (Supp. Data 1).</t>
  </si>
  <si>
    <t>Supplementary Data 6a. Neolithic haplogroups in HGs</t>
  </si>
  <si>
    <t>Supplementary Data 6b. HG haplogroups (i.e., non-Neolithic haplogroups in HGs)</t>
  </si>
  <si>
    <t xml:space="preserve">early farmers and have frequencies above 2% in HGs (on yellow background in the next table); or 2) they are absent in early farmers and present in HGs (last 3 rows). </t>
  </si>
  <si>
    <t>Note that HG haplogroups can be present in early farmers, even in the region from where the Neolithic spread.</t>
  </si>
  <si>
    <t>Supplementary Data 7a. Inland route (considering haplogroup H as a Neolithic haplogroup)</t>
  </si>
  <si>
    <t>Supplementary Data 7b. Sea route</t>
  </si>
  <si>
    <t>Supplementary Data 7c. Inland route (considering haplogroup H as a HG haplogroup)</t>
  </si>
  <si>
    <t>In contrast with Supp. Data 7a, this one assumes that haplogroup H can be considered as a HG haplogroup also along the inland route (see Sec. S10).</t>
  </si>
  <si>
    <t>Frequencies in early farmers along both routes obtained from Supplementary Data 1.</t>
  </si>
  <si>
    <t>The distances (km) are representative of each region, and we have used the same values as in Supplementary Data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</si>
</sst>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quot;_-;\-* #,##0.00\ &quot;€&quot;_-;_-* &quot;-&quot;??\ &quot;€&quot;_-;_-@_-"/>
    <numFmt numFmtId="164" formatCode="0.000"/>
    <numFmt numFmtId="165" formatCode="0.0"/>
    <numFmt numFmtId="166" formatCode="0.0%"/>
    <numFmt numFmtId="167" formatCode="_-* #,##0.00_-;\-* #,##0.00_-;_-* &quot;-&quot;??_-;_-@_-"/>
    <numFmt numFmtId="168" formatCode="#,##0.0"/>
  </numFmts>
  <fonts count="112"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theme="1"/>
      <name val="Calibri"/>
      <family val="2"/>
    </font>
    <font>
      <sz val="10"/>
      <name val="Arial"/>
      <family val="2"/>
    </font>
    <font>
      <sz val="11"/>
      <color theme="1"/>
      <name val="Calibri"/>
      <family val="2"/>
      <charset val="238"/>
      <scheme val="minor"/>
    </font>
    <font>
      <sz val="10"/>
      <name val="Arial"/>
      <family val="2"/>
      <charset val="238"/>
    </font>
    <font>
      <sz val="11"/>
      <color indexed="8"/>
      <name val="Calibri"/>
      <family val="2"/>
      <charset val="238"/>
    </font>
    <font>
      <sz val="10"/>
      <name val="Arial CE"/>
      <charset val="238"/>
    </font>
    <font>
      <sz val="10"/>
      <color indexed="8"/>
      <name val="Arial"/>
      <family val="2"/>
    </font>
    <font>
      <i/>
      <sz val="11"/>
      <color theme="1"/>
      <name val="Calibri"/>
      <family val="2"/>
      <scheme val="minor"/>
    </font>
    <font>
      <b/>
      <sz val="11"/>
      <color theme="1"/>
      <name val="Calibri"/>
      <family val="2"/>
      <scheme val="minor"/>
    </font>
    <font>
      <b/>
      <sz val="16"/>
      <color theme="1"/>
      <name val="Calibri"/>
      <family val="2"/>
      <scheme val="minor"/>
    </font>
    <font>
      <sz val="16"/>
      <color theme="1"/>
      <name val="Calibri"/>
      <family val="2"/>
      <scheme val="minor"/>
    </font>
    <font>
      <sz val="11"/>
      <color rgb="FF000000"/>
      <name val="Calibri"/>
      <family val="2"/>
      <scheme val="minor"/>
    </font>
    <font>
      <b/>
      <sz val="11"/>
      <color rgb="FF000000"/>
      <name val="Calibri"/>
      <family val="2"/>
      <scheme val="minor"/>
    </font>
    <font>
      <sz val="10"/>
      <color theme="1"/>
      <name val="Calibri"/>
      <family val="2"/>
      <scheme val="minor"/>
    </font>
    <font>
      <sz val="11"/>
      <name val="Calibri"/>
      <family val="2"/>
      <scheme val="minor"/>
    </font>
    <font>
      <b/>
      <sz val="10"/>
      <color theme="1"/>
      <name val="Calibri"/>
      <family val="2"/>
      <scheme val="minor"/>
    </font>
    <font>
      <sz val="12"/>
      <color theme="1"/>
      <name val="Calibri"/>
      <family val="2"/>
      <scheme val="minor"/>
    </font>
    <font>
      <sz val="14"/>
      <color theme="1"/>
      <name val="Calibri"/>
      <family val="2"/>
      <scheme val="minor"/>
    </font>
    <font>
      <b/>
      <sz val="14"/>
      <color theme="1"/>
      <name val="Calibri"/>
      <family val="2"/>
      <scheme val="minor"/>
    </font>
    <font>
      <sz val="10"/>
      <color indexed="8"/>
      <name val="Arial"/>
      <family val="2"/>
      <charset val="1"/>
    </font>
    <font>
      <sz val="10"/>
      <name val="Arial"/>
      <family val="2"/>
      <charset val="1"/>
    </font>
    <font>
      <sz val="10"/>
      <color theme="1"/>
      <name val="Arial"/>
      <family val="2"/>
    </font>
    <font>
      <sz val="9"/>
      <color theme="1"/>
      <name val="Calibri"/>
      <family val="2"/>
      <scheme val="minor"/>
    </font>
    <font>
      <sz val="12"/>
      <color theme="1"/>
      <name val="Arial"/>
      <family val="2"/>
    </font>
    <font>
      <sz val="12"/>
      <color theme="1"/>
      <name val="Calibri"/>
      <family val="2"/>
    </font>
    <font>
      <sz val="8"/>
      <color theme="1"/>
      <name val="Calibri"/>
      <family val="2"/>
      <scheme val="minor"/>
    </font>
    <font>
      <b/>
      <sz val="12"/>
      <color theme="1"/>
      <name val="Calibri"/>
      <family val="2"/>
    </font>
    <font>
      <u/>
      <sz val="11"/>
      <color theme="10"/>
      <name val="Arial"/>
      <family val="2"/>
    </font>
    <font>
      <u/>
      <sz val="12"/>
      <color theme="10"/>
      <name val="Arial"/>
      <family val="2"/>
    </font>
    <font>
      <u/>
      <sz val="11"/>
      <color theme="10"/>
      <name val="Calibri"/>
      <family val="2"/>
    </font>
    <font>
      <i/>
      <sz val="12"/>
      <color theme="1"/>
      <name val="Calibri"/>
      <family val="2"/>
      <scheme val="minor"/>
    </font>
    <font>
      <b/>
      <sz val="9"/>
      <color theme="1"/>
      <name val="Calibri"/>
      <family val="2"/>
      <scheme val="minor"/>
    </font>
    <font>
      <b/>
      <sz val="8"/>
      <color theme="1"/>
      <name val="Calibri"/>
      <family val="2"/>
      <scheme val="minor"/>
    </font>
    <font>
      <sz val="9"/>
      <color rgb="FF006100"/>
      <name val="Calibri"/>
      <family val="2"/>
      <scheme val="minor"/>
    </font>
    <font>
      <sz val="9"/>
      <name val="Calibri"/>
      <family val="2"/>
      <scheme val="minor"/>
    </font>
    <font>
      <sz val="10"/>
      <color rgb="FF006100"/>
      <name val="Calibri"/>
      <family val="2"/>
      <scheme val="minor"/>
    </font>
    <font>
      <sz val="10"/>
      <name val="Calibri"/>
      <family val="2"/>
      <scheme val="minor"/>
    </font>
    <font>
      <sz val="10"/>
      <color rgb="FF9C0006"/>
      <name val="Calibri"/>
      <family val="2"/>
      <scheme val="minor"/>
    </font>
    <font>
      <sz val="8"/>
      <color rgb="FF006100"/>
      <name val="Calibri"/>
      <family val="2"/>
      <scheme val="minor"/>
    </font>
    <font>
      <sz val="8"/>
      <color theme="1"/>
      <name val="Calibri"/>
      <family val="2"/>
    </font>
    <font>
      <sz val="8"/>
      <name val="Calibri"/>
      <family val="2"/>
      <scheme val="minor"/>
    </font>
    <font>
      <sz val="8"/>
      <color rgb="FF000000"/>
      <name val="Calibri"/>
      <family val="2"/>
      <scheme val="minor"/>
    </font>
    <font>
      <b/>
      <sz val="11"/>
      <color rgb="FF006100"/>
      <name val="Calibri"/>
      <family val="2"/>
      <scheme val="minor"/>
    </font>
    <font>
      <sz val="11"/>
      <color rgb="FF000000"/>
      <name val="Calibri"/>
      <family val="2"/>
    </font>
    <font>
      <b/>
      <sz val="12"/>
      <color rgb="FF538236"/>
      <name val="Calibri"/>
      <family val="2"/>
      <scheme val="minor"/>
    </font>
    <font>
      <sz val="10"/>
      <color theme="1"/>
      <name val="Calibri"/>
      <family val="2"/>
    </font>
    <font>
      <sz val="10"/>
      <color rgb="FF000000"/>
      <name val="Calibri"/>
      <family val="2"/>
    </font>
    <font>
      <u/>
      <sz val="12"/>
      <color rgb="FF3333CC"/>
      <name val="Calibri"/>
      <family val="2"/>
    </font>
    <font>
      <b/>
      <sz val="10"/>
      <color rgb="FF000000"/>
      <name val="Calibri"/>
      <family val="2"/>
    </font>
    <font>
      <sz val="10"/>
      <name val="Calibri"/>
      <family val="2"/>
    </font>
    <font>
      <b/>
      <sz val="10"/>
      <name val="Calibri"/>
      <family val="2"/>
    </font>
    <font>
      <sz val="9"/>
      <color rgb="FF000000"/>
      <name val="Calibri"/>
      <family val="2"/>
    </font>
    <font>
      <sz val="8"/>
      <color rgb="FF000000"/>
      <name val="Calibri"/>
      <family val="2"/>
    </font>
    <font>
      <sz val="10"/>
      <color rgb="FF000000"/>
      <name val="Arial"/>
      <family val="2"/>
    </font>
    <font>
      <sz val="8"/>
      <color rgb="FF000000"/>
      <name val="Arial"/>
      <family val="2"/>
    </font>
    <font>
      <sz val="12"/>
      <name val="Calibri"/>
      <family val="2"/>
      <scheme val="minor"/>
    </font>
    <font>
      <i/>
      <sz val="8"/>
      <color theme="1"/>
      <name val="Calibri"/>
      <family val="2"/>
      <scheme val="minor"/>
    </font>
    <font>
      <b/>
      <sz val="11"/>
      <name val="Calibri"/>
      <family val="2"/>
      <scheme val="minor"/>
    </font>
    <font>
      <b/>
      <sz val="12"/>
      <color theme="1"/>
      <name val="Calibri"/>
      <family val="2"/>
      <scheme val="minor"/>
    </font>
    <font>
      <sz val="12"/>
      <color theme="9" tint="-0.249977111117893"/>
      <name val="Calibri"/>
      <family val="2"/>
      <scheme val="minor"/>
    </font>
    <font>
      <sz val="8"/>
      <color theme="1"/>
      <name val="Arial"/>
      <family val="2"/>
    </font>
    <font>
      <sz val="8"/>
      <color indexed="8"/>
      <name val="Calibri"/>
      <family val="2"/>
      <scheme val="minor"/>
    </font>
    <font>
      <sz val="11"/>
      <color rgb="FF333333"/>
      <name val="Calibri"/>
      <family val="2"/>
      <scheme val="minor"/>
    </font>
    <font>
      <sz val="11"/>
      <name val="Calibri"/>
      <family val="2"/>
    </font>
    <font>
      <b/>
      <sz val="11"/>
      <name val="Calibri"/>
      <family val="2"/>
    </font>
    <font>
      <b/>
      <i/>
      <sz val="12"/>
      <color theme="1"/>
      <name val="Calibri"/>
      <family val="2"/>
      <scheme val="minor"/>
    </font>
    <font>
      <sz val="8"/>
      <name val="Arial"/>
      <family val="2"/>
    </font>
    <font>
      <sz val="12"/>
      <color rgb="FF000000"/>
      <name val="Calibri"/>
      <family val="2"/>
      <charset val="1"/>
    </font>
    <font>
      <b/>
      <sz val="8"/>
      <name val="Calibri"/>
      <family val="2"/>
      <scheme val="minor"/>
    </font>
    <font>
      <sz val="10"/>
      <color rgb="FF000000"/>
      <name val="Calibri"/>
      <family val="2"/>
      <scheme val="minor"/>
    </font>
    <font>
      <sz val="18"/>
      <color theme="1"/>
      <name val="Calibri"/>
      <family val="2"/>
      <scheme val="minor"/>
    </font>
    <font>
      <b/>
      <sz val="18"/>
      <color theme="1"/>
      <name val="Calibri"/>
      <family val="2"/>
      <scheme val="minor"/>
    </font>
    <font>
      <sz val="18"/>
      <name val="Calibri"/>
      <family val="2"/>
      <scheme val="minor"/>
    </font>
    <font>
      <sz val="9"/>
      <color theme="1"/>
      <name val="Calibri"/>
      <family val="2"/>
    </font>
    <font>
      <b/>
      <sz val="10"/>
      <name val="Calibri"/>
      <family val="2"/>
      <scheme val="minor"/>
    </font>
    <font>
      <i/>
      <sz val="8"/>
      <name val="Calibri"/>
      <family val="2"/>
      <scheme val="minor"/>
    </font>
    <font>
      <sz val="24"/>
      <name val="Calibri"/>
      <family val="2"/>
      <scheme val="minor"/>
    </font>
    <font>
      <b/>
      <sz val="10"/>
      <name val="Arial"/>
      <family val="2"/>
    </font>
    <font>
      <sz val="11"/>
      <color theme="1"/>
      <name val="Times New Roman"/>
      <family val="1"/>
    </font>
    <font>
      <i/>
      <sz val="11"/>
      <color theme="1"/>
      <name val="Times New Roman"/>
      <family val="1"/>
    </font>
    <font>
      <sz val="14"/>
      <name val="Calibri"/>
      <family val="2"/>
      <scheme val="minor"/>
    </font>
    <font>
      <b/>
      <sz val="14"/>
      <name val="Calibri"/>
      <family val="2"/>
      <scheme val="minor"/>
    </font>
    <font>
      <b/>
      <sz val="22"/>
      <name val="Calibri"/>
      <family val="2"/>
      <scheme val="minor"/>
    </font>
    <font>
      <sz val="11"/>
      <name val="Arial"/>
      <family val="2"/>
    </font>
    <font>
      <b/>
      <sz val="11"/>
      <name val="Arial"/>
      <family val="2"/>
    </font>
    <font>
      <sz val="11"/>
      <color rgb="FF000000"/>
      <name val="Arial"/>
      <family val="2"/>
    </font>
    <font>
      <sz val="10"/>
      <name val="Times New Roman"/>
      <family val="1"/>
    </font>
    <font>
      <sz val="11"/>
      <name val="Times New Roman"/>
      <family val="1"/>
    </font>
    <font>
      <sz val="11"/>
      <color rgb="FFFF0000"/>
      <name val="Calibri"/>
      <family val="2"/>
      <scheme val="minor"/>
    </font>
    <font>
      <b/>
      <sz val="11"/>
      <color rgb="FFFF0000"/>
      <name val="Calibri"/>
      <family val="2"/>
      <scheme val="minor"/>
    </font>
    <font>
      <sz val="8"/>
      <color rgb="FFFF0000"/>
      <name val="Calibri"/>
      <family val="2"/>
      <scheme val="minor"/>
    </font>
    <font>
      <sz val="8"/>
      <color rgb="FFFF0000"/>
      <name val="Calibri"/>
      <family val="2"/>
    </font>
    <font>
      <sz val="9"/>
      <color rgb="FFFF0000"/>
      <name val="Calibri"/>
      <family val="2"/>
      <scheme val="minor"/>
    </font>
    <font>
      <sz val="8"/>
      <name val="Calibri"/>
      <family val="2"/>
    </font>
    <font>
      <sz val="11"/>
      <name val="Calibri"/>
      <family val="2"/>
      <charset val="1"/>
    </font>
    <font>
      <sz val="8"/>
      <name val="Calibri"/>
      <family val="2"/>
      <charset val="1"/>
    </font>
    <font>
      <sz val="10"/>
      <color rgb="FFFF0000"/>
      <name val="Calibri"/>
      <family val="2"/>
      <scheme val="minor"/>
    </font>
    <font>
      <sz val="7"/>
      <name val="Calibri"/>
      <family val="2"/>
      <scheme val="minor"/>
    </font>
    <font>
      <sz val="7"/>
      <color theme="1"/>
      <name val="Calibri"/>
      <family val="2"/>
      <scheme val="minor"/>
    </font>
    <font>
      <i/>
      <sz val="11"/>
      <name val="Calibri"/>
      <family val="2"/>
      <scheme val="minor"/>
    </font>
    <font>
      <b/>
      <sz val="20"/>
      <color theme="1"/>
      <name val="Calibri"/>
      <family val="2"/>
      <scheme val="minor"/>
    </font>
    <font>
      <b/>
      <sz val="22"/>
      <name val="Arial"/>
      <family val="2"/>
    </font>
    <font>
      <b/>
      <sz val="24"/>
      <name val="Calibri"/>
      <family val="2"/>
      <scheme val="minor"/>
    </font>
    <font>
      <strike/>
      <sz val="10"/>
      <name val="Arial"/>
      <family val="2"/>
    </font>
    <font>
      <strike/>
      <sz val="11"/>
      <name val="Arial"/>
      <family val="2"/>
    </font>
    <font>
      <sz val="9"/>
      <name val="Arial"/>
      <family val="2"/>
    </font>
    <font>
      <b/>
      <sz val="24"/>
      <color theme="1"/>
      <name val="Calibri"/>
      <family val="2"/>
      <scheme val="minor"/>
    </font>
    <font>
      <b/>
      <sz val="13"/>
      <color theme="1"/>
      <name val="Calibri"/>
      <family val="2"/>
      <scheme val="minor"/>
    </font>
  </fonts>
  <fills count="21">
    <fill>
      <patternFill patternType="none"/>
    </fill>
    <fill>
      <patternFill patternType="gray125"/>
    </fill>
    <fill>
      <patternFill patternType="solid">
        <fgColor rgb="FFC6EFCE"/>
      </patternFill>
    </fill>
    <fill>
      <patternFill patternType="solid">
        <fgColor rgb="FFFFC7CE"/>
      </patternFill>
    </fill>
    <fill>
      <patternFill patternType="solid">
        <fgColor theme="0"/>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8" tint="0.59999389629810485"/>
        <bgColor indexed="64"/>
      </patternFill>
    </fill>
    <fill>
      <patternFill patternType="solid">
        <fgColor rgb="FFC6EFCE"/>
        <bgColor indexed="64"/>
      </patternFill>
    </fill>
    <fill>
      <patternFill patternType="solid">
        <fgColor rgb="FFECECEC"/>
        <bgColor rgb="FFECECEC"/>
      </patternFill>
    </fill>
    <fill>
      <patternFill patternType="solid">
        <fgColor rgb="FFE7F6FF"/>
        <bgColor indexed="64"/>
      </patternFill>
    </fill>
    <fill>
      <patternFill patternType="solid">
        <fgColor rgb="FFFFFF00"/>
        <bgColor rgb="FFFFFFCC"/>
      </patternFill>
    </fill>
    <fill>
      <patternFill patternType="solid">
        <fgColor theme="5" tint="0.79998168889431442"/>
        <bgColor indexed="64"/>
      </patternFill>
    </fill>
    <fill>
      <patternFill patternType="solid">
        <fgColor rgb="FFFFFFFF"/>
        <bgColor rgb="FFF3F3F3"/>
      </patternFill>
    </fill>
    <fill>
      <patternFill patternType="solid">
        <fgColor rgb="FFFFFF00"/>
        <bgColor rgb="FFF3F3F3"/>
      </patternFill>
    </fill>
    <fill>
      <patternFill patternType="solid">
        <fgColor rgb="FFFFFF00"/>
        <bgColor rgb="FFCCCCCC"/>
      </patternFill>
    </fill>
    <fill>
      <patternFill patternType="solid">
        <fgColor theme="6" tint="0.59999389629810485"/>
        <bgColor indexed="64"/>
      </patternFill>
    </fill>
    <fill>
      <patternFill patternType="solid">
        <fgColor rgb="FFFF0000"/>
        <bgColor indexed="64"/>
      </patternFill>
    </fill>
    <fill>
      <patternFill patternType="solid">
        <fgColor theme="9" tint="0.79998168889431442"/>
        <bgColor indexed="64"/>
      </patternFill>
    </fill>
    <fill>
      <patternFill patternType="solid">
        <fgColor theme="0" tint="-0.14996795556505021"/>
        <bgColor indexed="64"/>
      </patternFill>
    </fill>
  </fills>
  <borders count="44">
    <border>
      <left/>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auto="1"/>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6">
    <xf numFmtId="0" fontId="0" fillId="0" borderId="0"/>
    <xf numFmtId="0" fontId="2" fillId="2" borderId="0" applyNumberFormat="0" applyBorder="0" applyAlignment="0" applyProtection="0"/>
    <xf numFmtId="0" fontId="3" fillId="3" borderId="0" applyNumberFormat="0" applyBorder="0" applyAlignment="0" applyProtection="0"/>
    <xf numFmtId="44" fontId="5" fillId="0" borderId="0" applyFont="0" applyFill="0" applyBorder="0" applyAlignment="0" applyProtection="0"/>
    <xf numFmtId="0" fontId="5" fillId="0" borderId="0"/>
    <xf numFmtId="0" fontId="6" fillId="0" borderId="0"/>
    <xf numFmtId="0" fontId="5" fillId="0" borderId="0"/>
    <xf numFmtId="0" fontId="7" fillId="0" borderId="0"/>
    <xf numFmtId="0" fontId="8"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9" fontId="5" fillId="0" borderId="0" applyFont="0" applyFill="0" applyBorder="0" applyAlignment="0" applyProtection="0"/>
    <xf numFmtId="0" fontId="1" fillId="0" borderId="0"/>
    <xf numFmtId="0" fontId="1" fillId="0" borderId="0"/>
    <xf numFmtId="0" fontId="10" fillId="0" borderId="0"/>
    <xf numFmtId="0" fontId="7" fillId="0" borderId="0" applyNumberFormat="0" applyFill="0" applyBorder="0" applyAlignment="0" applyProtection="0"/>
    <xf numFmtId="0" fontId="32" fillId="0" borderId="0" applyNumberFormat="0" applyFill="0" applyBorder="0" applyAlignment="0" applyProtection="0"/>
    <xf numFmtId="0" fontId="27" fillId="0" borderId="0"/>
    <xf numFmtId="0" fontId="48" fillId="11" borderId="0" applyAlignment="0" applyProtection="0"/>
    <xf numFmtId="0" fontId="63" fillId="0" borderId="0"/>
    <xf numFmtId="0" fontId="20" fillId="0" borderId="0"/>
    <xf numFmtId="0" fontId="1" fillId="0" borderId="0"/>
    <xf numFmtId="167" fontId="20" fillId="0" borderId="0" applyFont="0" applyFill="0" applyBorder="0" applyAlignment="0" applyProtection="0"/>
    <xf numFmtId="0" fontId="71" fillId="0" borderId="0"/>
    <xf numFmtId="0" fontId="57" fillId="0" borderId="0"/>
    <xf numFmtId="0" fontId="20" fillId="0" borderId="0"/>
    <xf numFmtId="0" fontId="20" fillId="0" borderId="0"/>
    <xf numFmtId="44" fontId="5" fillId="0" borderId="0" applyFont="0" applyFill="0" applyBorder="0" applyAlignment="0" applyProtection="0"/>
  </cellStyleXfs>
  <cellXfs count="1132">
    <xf numFmtId="0" fontId="0" fillId="0" borderId="0" xfId="0"/>
    <xf numFmtId="0" fontId="0" fillId="0" borderId="0" xfId="0" applyFont="1"/>
    <xf numFmtId="0" fontId="0" fillId="0" borderId="0" xfId="0" applyFill="1"/>
    <xf numFmtId="0" fontId="12" fillId="0" borderId="0" xfId="0" applyFont="1"/>
    <xf numFmtId="0" fontId="15" fillId="0" borderId="0" xfId="0" applyFont="1"/>
    <xf numFmtId="0" fontId="0" fillId="0" borderId="0" xfId="0" applyAlignment="1">
      <alignment horizontal="center"/>
    </xf>
    <xf numFmtId="0" fontId="0" fillId="4" borderId="0" xfId="0" applyFill="1"/>
    <xf numFmtId="0" fontId="0" fillId="0" borderId="0" xfId="0" applyFont="1" applyAlignment="1">
      <alignment horizontal="center"/>
    </xf>
    <xf numFmtId="2" fontId="2" fillId="0" borderId="0" xfId="1" applyNumberFormat="1" applyFill="1" applyAlignment="1">
      <alignment horizontal="center"/>
    </xf>
    <xf numFmtId="0" fontId="0" fillId="0" borderId="0" xfId="0" applyAlignment="1">
      <alignment horizontal="left"/>
    </xf>
    <xf numFmtId="0" fontId="2" fillId="4" borderId="0" xfId="1" applyFill="1"/>
    <xf numFmtId="0" fontId="3" fillId="4" borderId="0" xfId="2" applyFill="1"/>
    <xf numFmtId="1" fontId="0" fillId="0" borderId="0" xfId="0" applyNumberFormat="1" applyFill="1" applyBorder="1" applyAlignment="1">
      <alignment horizontal="center"/>
    </xf>
    <xf numFmtId="164" fontId="0" fillId="0" borderId="0" xfId="0" applyNumberFormat="1" applyAlignment="1">
      <alignment horizontal="center"/>
    </xf>
    <xf numFmtId="2" fontId="0" fillId="0" borderId="0" xfId="0" applyNumberFormat="1" applyFill="1" applyBorder="1" applyAlignment="1">
      <alignment horizontal="center"/>
    </xf>
    <xf numFmtId="0" fontId="4" fillId="0" borderId="0" xfId="0" applyFont="1"/>
    <xf numFmtId="1" fontId="0" fillId="0" borderId="11" xfId="0" applyNumberFormat="1" applyFill="1" applyBorder="1" applyAlignment="1">
      <alignment horizontal="center"/>
    </xf>
    <xf numFmtId="0" fontId="0" fillId="0" borderId="0" xfId="0" applyFill="1" applyAlignment="1">
      <alignment horizontal="center"/>
    </xf>
    <xf numFmtId="2" fontId="0" fillId="0" borderId="0" xfId="0" applyNumberFormat="1"/>
    <xf numFmtId="0" fontId="0" fillId="4" borderId="12" xfId="0" applyFill="1" applyBorder="1"/>
    <xf numFmtId="0" fontId="0" fillId="0" borderId="0" xfId="0" applyFont="1" applyFill="1" applyBorder="1" applyAlignment="1">
      <alignment horizontal="center" vertical="center" wrapText="1"/>
    </xf>
    <xf numFmtId="1" fontId="0" fillId="5" borderId="0" xfId="0" applyNumberFormat="1" applyFill="1" applyAlignment="1">
      <alignment horizontal="center"/>
    </xf>
    <xf numFmtId="1" fontId="0" fillId="5" borderId="11" xfId="0" applyNumberFormat="1" applyFill="1" applyBorder="1" applyAlignment="1">
      <alignment horizontal="center"/>
    </xf>
    <xf numFmtId="1" fontId="0" fillId="6" borderId="0" xfId="0" applyNumberFormat="1" applyFill="1" applyAlignment="1">
      <alignment horizontal="center"/>
    </xf>
    <xf numFmtId="1" fontId="0" fillId="6" borderId="0" xfId="0" applyNumberFormat="1" applyFill="1" applyBorder="1" applyAlignment="1">
      <alignment horizontal="center"/>
    </xf>
    <xf numFmtId="1" fontId="0" fillId="6" borderId="11" xfId="0" applyNumberFormat="1" applyFill="1" applyBorder="1" applyAlignment="1">
      <alignment horizontal="center"/>
    </xf>
    <xf numFmtId="0" fontId="13" fillId="0" borderId="0" xfId="0" applyFont="1" applyFill="1" applyAlignment="1">
      <alignment horizontal="left"/>
    </xf>
    <xf numFmtId="1" fontId="0" fillId="0" borderId="0" xfId="0" applyNumberFormat="1" applyFill="1" applyAlignment="1">
      <alignment horizontal="center"/>
    </xf>
    <xf numFmtId="0" fontId="0" fillId="0" borderId="0" xfId="0" applyFill="1" applyBorder="1" applyAlignment="1">
      <alignment horizontal="center"/>
    </xf>
    <xf numFmtId="0" fontId="0" fillId="0" borderId="0" xfId="0" applyFill="1" applyBorder="1" applyAlignment="1">
      <alignment horizontal="center"/>
    </xf>
    <xf numFmtId="165" fontId="0" fillId="6" borderId="0" xfId="0" applyNumberFormat="1" applyFill="1" applyAlignment="1">
      <alignment horizontal="center"/>
    </xf>
    <xf numFmtId="165" fontId="0" fillId="5" borderId="0" xfId="0" applyNumberFormat="1" applyFill="1" applyAlignment="1">
      <alignment horizontal="center"/>
    </xf>
    <xf numFmtId="1" fontId="0" fillId="5" borderId="0" xfId="0" applyNumberFormat="1" applyFill="1" applyBorder="1" applyAlignment="1">
      <alignment horizontal="center"/>
    </xf>
    <xf numFmtId="0" fontId="17" fillId="0" borderId="0" xfId="0" applyFont="1"/>
    <xf numFmtId="0" fontId="20" fillId="0" borderId="0" xfId="0" applyFont="1"/>
    <xf numFmtId="0" fontId="22" fillId="0" borderId="0" xfId="0" applyFont="1"/>
    <xf numFmtId="0" fontId="20" fillId="0" borderId="0" xfId="0" applyFont="1" applyAlignment="1">
      <alignment horizontal="center"/>
    </xf>
    <xf numFmtId="0" fontId="0" fillId="4" borderId="12" xfId="0" applyFont="1" applyFill="1" applyBorder="1" applyAlignment="1">
      <alignment vertical="center"/>
    </xf>
    <xf numFmtId="0" fontId="0" fillId="4" borderId="12" xfId="0" applyFill="1" applyBorder="1" applyAlignment="1">
      <alignment wrapText="1"/>
    </xf>
    <xf numFmtId="0" fontId="0" fillId="4" borderId="13" xfId="0" applyFont="1" applyFill="1" applyBorder="1" applyAlignment="1">
      <alignment vertical="center"/>
    </xf>
    <xf numFmtId="0" fontId="0" fillId="0" borderId="0" xfId="0" applyFill="1" applyAlignment="1">
      <alignment horizontal="left"/>
    </xf>
    <xf numFmtId="2" fontId="0" fillId="0" borderId="0" xfId="0" applyNumberFormat="1" applyFill="1" applyAlignment="1">
      <alignment horizontal="center"/>
    </xf>
    <xf numFmtId="0" fontId="0" fillId="0" borderId="0" xfId="0" applyAlignment="1">
      <alignment vertical="top"/>
    </xf>
    <xf numFmtId="0" fontId="0" fillId="0" borderId="14" xfId="0" applyFill="1" applyBorder="1" applyAlignment="1">
      <alignment vertical="center" wrapText="1"/>
    </xf>
    <xf numFmtId="0" fontId="0" fillId="0" borderId="14" xfId="0" applyFont="1" applyBorder="1" applyAlignment="1">
      <alignment vertical="center" wrapText="1"/>
    </xf>
    <xf numFmtId="0" fontId="2" fillId="0" borderId="0" xfId="1" applyFill="1"/>
    <xf numFmtId="0" fontId="0" fillId="6" borderId="8" xfId="0" applyFill="1" applyBorder="1"/>
    <xf numFmtId="2" fontId="0" fillId="6" borderId="0" xfId="0" applyNumberFormat="1" applyFill="1" applyBorder="1" applyAlignment="1">
      <alignment horizontal="center"/>
    </xf>
    <xf numFmtId="0" fontId="0" fillId="6" borderId="0" xfId="0" applyFill="1" applyBorder="1" applyAlignment="1">
      <alignment horizontal="center"/>
    </xf>
    <xf numFmtId="0" fontId="0" fillId="6" borderId="10" xfId="0" applyFill="1" applyBorder="1" applyAlignment="1">
      <alignment horizontal="center"/>
    </xf>
    <xf numFmtId="0" fontId="0" fillId="6" borderId="11" xfId="0" applyFill="1" applyBorder="1" applyAlignment="1">
      <alignment horizontal="center" vertical="center" wrapText="1"/>
    </xf>
    <xf numFmtId="2" fontId="0" fillId="6" borderId="20" xfId="0" applyNumberFormat="1" applyFill="1" applyBorder="1" applyAlignment="1">
      <alignment horizontal="center"/>
    </xf>
    <xf numFmtId="0" fontId="0" fillId="5" borderId="8" xfId="0" applyFill="1" applyBorder="1"/>
    <xf numFmtId="2" fontId="0" fillId="5" borderId="0" xfId="0" applyNumberFormat="1" applyFill="1" applyBorder="1" applyAlignment="1">
      <alignment horizontal="center"/>
    </xf>
    <xf numFmtId="2" fontId="0" fillId="5" borderId="20" xfId="0" applyNumberFormat="1" applyFill="1" applyBorder="1" applyAlignment="1">
      <alignment horizontal="center"/>
    </xf>
    <xf numFmtId="0" fontId="0" fillId="5" borderId="10" xfId="0" applyFill="1" applyBorder="1" applyAlignment="1">
      <alignment horizontal="center"/>
    </xf>
    <xf numFmtId="0" fontId="0" fillId="5" borderId="11" xfId="0" applyFill="1" applyBorder="1" applyAlignment="1">
      <alignment horizontal="center" vertical="center" wrapText="1"/>
    </xf>
    <xf numFmtId="0" fontId="0" fillId="5" borderId="0" xfId="0" applyFill="1" applyBorder="1" applyAlignment="1">
      <alignment horizontal="center"/>
    </xf>
    <xf numFmtId="1" fontId="0" fillId="6" borderId="6" xfId="0" applyNumberFormat="1" applyFill="1" applyBorder="1" applyAlignment="1">
      <alignment horizontal="center"/>
    </xf>
    <xf numFmtId="0" fontId="0" fillId="0" borderId="0" xfId="0" applyBorder="1"/>
    <xf numFmtId="2" fontId="0" fillId="5" borderId="0" xfId="0" applyNumberFormat="1" applyFill="1" applyAlignment="1">
      <alignment horizontal="center"/>
    </xf>
    <xf numFmtId="0" fontId="0" fillId="0" borderId="0" xfId="0" applyFill="1" applyBorder="1"/>
    <xf numFmtId="0" fontId="0" fillId="9" borderId="0" xfId="0" applyFill="1" applyAlignment="1">
      <alignment horizontal="left"/>
    </xf>
    <xf numFmtId="0" fontId="0" fillId="0" borderId="0" xfId="0" applyFont="1" applyAlignment="1"/>
    <xf numFmtId="165" fontId="0" fillId="0" borderId="1" xfId="0" applyNumberFormat="1" applyFill="1" applyBorder="1" applyAlignment="1">
      <alignment horizontal="center"/>
    </xf>
    <xf numFmtId="2" fontId="0" fillId="0" borderId="1" xfId="0" applyNumberFormat="1" applyFill="1" applyBorder="1" applyAlignment="1">
      <alignment horizontal="center"/>
    </xf>
    <xf numFmtId="1" fontId="0" fillId="5" borderId="10" xfId="0" applyNumberFormat="1" applyFill="1" applyBorder="1" applyAlignment="1">
      <alignment horizontal="center"/>
    </xf>
    <xf numFmtId="1" fontId="0" fillId="6" borderId="10" xfId="0" applyNumberFormat="1" applyFill="1" applyBorder="1" applyAlignment="1">
      <alignment horizontal="center"/>
    </xf>
    <xf numFmtId="1" fontId="0" fillId="0" borderId="1" xfId="0" applyNumberFormat="1" applyFill="1" applyBorder="1" applyAlignment="1">
      <alignment horizontal="center"/>
    </xf>
    <xf numFmtId="0" fontId="0" fillId="0" borderId="1" xfId="0" applyFill="1" applyBorder="1"/>
    <xf numFmtId="1" fontId="0" fillId="5" borderId="8" xfId="0" applyNumberFormat="1" applyFill="1" applyBorder="1" applyAlignment="1">
      <alignment horizontal="center"/>
    </xf>
    <xf numFmtId="1" fontId="0" fillId="6" borderId="8" xfId="0" applyNumberFormat="1" applyFill="1" applyBorder="1" applyAlignment="1">
      <alignment horizontal="center"/>
    </xf>
    <xf numFmtId="2" fontId="0" fillId="0" borderId="1" xfId="0" applyNumberFormat="1" applyBorder="1" applyAlignment="1">
      <alignment horizontal="center"/>
    </xf>
    <xf numFmtId="1" fontId="0" fillId="0" borderId="1" xfId="0" applyNumberFormat="1" applyBorder="1" applyAlignment="1">
      <alignment horizontal="center"/>
    </xf>
    <xf numFmtId="0" fontId="0" fillId="0" borderId="1" xfId="0" applyBorder="1" applyAlignment="1">
      <alignment horizontal="center"/>
    </xf>
    <xf numFmtId="0" fontId="0" fillId="0" borderId="1" xfId="0" applyBorder="1"/>
    <xf numFmtId="0" fontId="0" fillId="7" borderId="0" xfId="0" applyFont="1" applyFill="1" applyAlignment="1">
      <alignment horizontal="left"/>
    </xf>
    <xf numFmtId="0" fontId="28" fillId="0" borderId="0" xfId="0" applyFont="1"/>
    <xf numFmtId="49" fontId="31" fillId="0" borderId="0" xfId="0" applyNumberFormat="1" applyFont="1" applyAlignment="1">
      <alignment horizontal="left"/>
    </xf>
    <xf numFmtId="49" fontId="31" fillId="0" borderId="0" xfId="0" applyNumberFormat="1" applyFont="1"/>
    <xf numFmtId="49" fontId="32" fillId="0" borderId="0" xfId="24" applyNumberFormat="1" applyAlignment="1">
      <alignment horizontal="left"/>
    </xf>
    <xf numFmtId="49" fontId="33" fillId="0" borderId="0" xfId="0" applyNumberFormat="1" applyFont="1" applyAlignment="1">
      <alignment horizontal="left"/>
    </xf>
    <xf numFmtId="49" fontId="32" fillId="0" borderId="0" xfId="24" applyNumberFormat="1" applyFont="1" applyAlignment="1">
      <alignment horizontal="left"/>
    </xf>
    <xf numFmtId="0" fontId="31" fillId="0" borderId="0" xfId="0" applyFont="1"/>
    <xf numFmtId="0" fontId="28" fillId="0" borderId="0" xfId="0" applyFont="1" applyAlignment="1">
      <alignment horizontal="left"/>
    </xf>
    <xf numFmtId="0" fontId="34" fillId="0" borderId="0" xfId="0" applyFont="1"/>
    <xf numFmtId="49" fontId="28" fillId="0" borderId="0" xfId="0" applyNumberFormat="1" applyFont="1" applyAlignment="1">
      <alignment horizontal="left"/>
    </xf>
    <xf numFmtId="0" fontId="29" fillId="0" borderId="0" xfId="0" applyFont="1" applyFill="1"/>
    <xf numFmtId="0" fontId="15" fillId="0" borderId="0" xfId="0" applyFont="1" applyFill="1" applyAlignment="1">
      <alignment horizontal="center"/>
    </xf>
    <xf numFmtId="0" fontId="0" fillId="0" borderId="0" xfId="0" applyFont="1" applyFill="1" applyAlignment="1"/>
    <xf numFmtId="0" fontId="18" fillId="0" borderId="0" xfId="0" applyFont="1" applyFill="1" applyAlignment="1">
      <alignment horizontal="center"/>
    </xf>
    <xf numFmtId="0" fontId="18" fillId="0" borderId="0" xfId="0" applyFont="1" applyFill="1"/>
    <xf numFmtId="0" fontId="18" fillId="0" borderId="0" xfId="1" applyFont="1" applyFill="1"/>
    <xf numFmtId="0" fontId="28" fillId="0" borderId="0" xfId="0" applyFont="1" applyFill="1"/>
    <xf numFmtId="49" fontId="31" fillId="0" borderId="0" xfId="0" applyNumberFormat="1" applyFont="1" applyFill="1" applyAlignment="1">
      <alignment horizontal="left"/>
    </xf>
    <xf numFmtId="0" fontId="28" fillId="0" borderId="0" xfId="0" applyFont="1" applyFill="1" applyAlignment="1">
      <alignment horizontal="left"/>
    </xf>
    <xf numFmtId="0" fontId="31" fillId="0" borderId="0" xfId="0" applyFont="1" applyFill="1"/>
    <xf numFmtId="0" fontId="0" fillId="7" borderId="0" xfId="0" applyFill="1" applyAlignment="1">
      <alignment horizontal="left"/>
    </xf>
    <xf numFmtId="49" fontId="0" fillId="0" borderId="0" xfId="0" applyNumberFormat="1" applyAlignment="1">
      <alignment horizontal="left"/>
    </xf>
    <xf numFmtId="0" fontId="1" fillId="0" borderId="0" xfId="1" applyFont="1" applyFill="1"/>
    <xf numFmtId="0" fontId="12" fillId="0" borderId="0" xfId="0" applyFont="1" applyAlignment="1">
      <alignment wrapText="1"/>
    </xf>
    <xf numFmtId="0" fontId="12" fillId="7" borderId="0" xfId="0" applyFont="1" applyFill="1" applyAlignment="1">
      <alignment horizontal="left" vertical="center" wrapText="1"/>
    </xf>
    <xf numFmtId="2" fontId="0" fillId="7" borderId="0" xfId="0" applyNumberFormat="1" applyFill="1" applyAlignment="1">
      <alignment horizontal="left"/>
    </xf>
    <xf numFmtId="0" fontId="23" fillId="7" borderId="0" xfId="0" applyFont="1" applyFill="1" applyBorder="1" applyAlignment="1">
      <alignment horizontal="left"/>
    </xf>
    <xf numFmtId="1" fontId="0" fillId="7" borderId="0" xfId="0" applyNumberFormat="1" applyFill="1" applyAlignment="1">
      <alignment horizontal="left"/>
    </xf>
    <xf numFmtId="0" fontId="18" fillId="7" borderId="0" xfId="0" applyFont="1" applyFill="1" applyAlignment="1">
      <alignment horizontal="left"/>
    </xf>
    <xf numFmtId="0" fontId="29" fillId="0" borderId="0" xfId="0" applyFont="1" applyFill="1" applyAlignment="1"/>
    <xf numFmtId="0" fontId="29" fillId="0" borderId="0" xfId="0" applyFont="1" applyFill="1" applyAlignment="1">
      <alignment vertical="center"/>
    </xf>
    <xf numFmtId="0" fontId="29" fillId="0" borderId="0" xfId="0" applyFont="1" applyFill="1" applyAlignment="1">
      <alignment horizontal="left"/>
    </xf>
    <xf numFmtId="0" fontId="29" fillId="0" borderId="0" xfId="1" applyFont="1" applyFill="1"/>
    <xf numFmtId="0" fontId="26" fillId="7" borderId="0" xfId="0" applyFont="1" applyFill="1"/>
    <xf numFmtId="0" fontId="0" fillId="7" borderId="0" xfId="0" applyFill="1"/>
    <xf numFmtId="0" fontId="17" fillId="0" borderId="0" xfId="0" applyFont="1" applyFill="1" applyAlignment="1">
      <alignment horizontal="center"/>
    </xf>
    <xf numFmtId="0" fontId="17" fillId="0" borderId="0" xfId="0" applyFont="1" applyFill="1" applyBorder="1" applyAlignment="1">
      <alignment horizontal="center"/>
    </xf>
    <xf numFmtId="0" fontId="17" fillId="0" borderId="0" xfId="0" applyFont="1" applyFill="1" applyBorder="1" applyAlignment="1">
      <alignment horizontal="center" vertical="center"/>
    </xf>
    <xf numFmtId="1" fontId="17" fillId="0" borderId="0" xfId="0" applyNumberFormat="1" applyFont="1" applyFill="1" applyAlignment="1">
      <alignment horizontal="center"/>
    </xf>
    <xf numFmtId="1" fontId="12" fillId="0" borderId="0" xfId="0" applyNumberFormat="1" applyFont="1" applyFill="1" applyAlignment="1">
      <alignment horizontal="center"/>
    </xf>
    <xf numFmtId="2" fontId="46" fillId="0" borderId="0" xfId="1" applyNumberFormat="1" applyFont="1" applyFill="1" applyAlignment="1">
      <alignment horizontal="center"/>
    </xf>
    <xf numFmtId="0" fontId="12" fillId="0" borderId="0" xfId="0" applyFont="1" applyFill="1" applyAlignment="1">
      <alignment horizontal="center"/>
    </xf>
    <xf numFmtId="0" fontId="18" fillId="7" borderId="0" xfId="1" applyFont="1" applyFill="1"/>
    <xf numFmtId="0" fontId="32" fillId="0" borderId="0" xfId="24"/>
    <xf numFmtId="0" fontId="32" fillId="0" borderId="0" xfId="24" applyAlignment="1">
      <alignment horizontal="left"/>
    </xf>
    <xf numFmtId="0" fontId="7" fillId="0" borderId="0" xfId="23"/>
    <xf numFmtId="0" fontId="4" fillId="7" borderId="0" xfId="0" applyFont="1" applyFill="1" applyAlignment="1">
      <alignment horizontal="left"/>
    </xf>
    <xf numFmtId="0" fontId="47" fillId="7" borderId="0" xfId="0" applyFont="1" applyFill="1" applyAlignment="1">
      <alignment horizontal="left"/>
    </xf>
    <xf numFmtId="0" fontId="4" fillId="7" borderId="0" xfId="0" applyFont="1" applyFill="1"/>
    <xf numFmtId="0" fontId="0" fillId="7" borderId="0" xfId="0" applyFill="1" applyBorder="1" applyAlignment="1">
      <alignment horizontal="left"/>
    </xf>
    <xf numFmtId="0" fontId="51" fillId="0" borderId="0" xfId="0" applyFont="1" applyFill="1" applyBorder="1" applyAlignment="1">
      <alignment horizontal="left"/>
    </xf>
    <xf numFmtId="0" fontId="0" fillId="4" borderId="12" xfId="0" applyFill="1" applyBorder="1" applyAlignment="1">
      <alignment vertical="center"/>
    </xf>
    <xf numFmtId="0" fontId="0" fillId="4" borderId="12" xfId="0" applyFill="1" applyBorder="1" applyAlignment="1">
      <alignment horizontal="left" vertical="center"/>
    </xf>
    <xf numFmtId="0" fontId="0" fillId="4" borderId="21" xfId="0" applyFill="1" applyBorder="1"/>
    <xf numFmtId="0" fontId="0" fillId="0" borderId="21" xfId="0" applyBorder="1"/>
    <xf numFmtId="0" fontId="50" fillId="7" borderId="0" xfId="0" applyFont="1" applyFill="1" applyAlignment="1">
      <alignment horizontal="left"/>
    </xf>
    <xf numFmtId="1" fontId="5" fillId="0" borderId="0" xfId="23" applyNumberFormat="1" applyFont="1" applyAlignment="1">
      <alignment horizontal="left"/>
    </xf>
    <xf numFmtId="0" fontId="5" fillId="0" borderId="0" xfId="23" applyFont="1" applyAlignment="1">
      <alignment horizontal="left"/>
    </xf>
    <xf numFmtId="0" fontId="5" fillId="0" borderId="0" xfId="23" applyFont="1" applyAlignment="1"/>
    <xf numFmtId="2" fontId="5" fillId="0" borderId="0" xfId="23" applyNumberFormat="1" applyFont="1" applyAlignment="1">
      <alignment horizontal="center"/>
    </xf>
    <xf numFmtId="1" fontId="5" fillId="0" borderId="0" xfId="23" applyNumberFormat="1" applyFont="1" applyFill="1" applyAlignment="1">
      <alignment horizontal="center"/>
    </xf>
    <xf numFmtId="1" fontId="5" fillId="0" borderId="0" xfId="23" applyNumberFormat="1" applyFont="1" applyAlignment="1">
      <alignment horizontal="center"/>
    </xf>
    <xf numFmtId="0" fontId="5" fillId="0" borderId="0" xfId="23" applyFont="1" applyFill="1" applyAlignment="1">
      <alignment horizontal="left"/>
    </xf>
    <xf numFmtId="0" fontId="5" fillId="0" borderId="0" xfId="23" applyFont="1" applyAlignment="1">
      <alignment horizontal="center"/>
    </xf>
    <xf numFmtId="0" fontId="5" fillId="0" borderId="0" xfId="23" applyFont="1"/>
    <xf numFmtId="0" fontId="5" fillId="0" borderId="0" xfId="23" applyFont="1" applyAlignment="1">
      <alignment horizontal="center" vertical="center" wrapText="1"/>
    </xf>
    <xf numFmtId="0" fontId="5" fillId="0" borderId="0" xfId="23" applyFont="1" applyAlignment="1">
      <alignment horizontal="left" vertical="center" wrapText="1"/>
    </xf>
    <xf numFmtId="1" fontId="5" fillId="0" borderId="0" xfId="23" applyNumberFormat="1" applyFont="1" applyFill="1" applyAlignment="1">
      <alignment horizontal="center" vertical="center" wrapText="1"/>
    </xf>
    <xf numFmtId="1" fontId="5" fillId="0" borderId="0" xfId="23" applyNumberFormat="1" applyFont="1" applyAlignment="1">
      <alignment horizontal="center" vertical="center" wrapText="1"/>
    </xf>
    <xf numFmtId="0" fontId="5" fillId="0" borderId="0" xfId="23" applyFont="1" applyFill="1" applyAlignment="1">
      <alignment horizontal="center" vertical="center" wrapText="1"/>
    </xf>
    <xf numFmtId="0" fontId="5" fillId="0" borderId="0" xfId="23" applyFont="1" applyAlignment="1">
      <alignment wrapText="1"/>
    </xf>
    <xf numFmtId="0" fontId="5" fillId="0" borderId="0" xfId="23" applyFont="1" applyAlignment="1">
      <alignment horizontal="left" vertical="center"/>
    </xf>
    <xf numFmtId="166" fontId="5" fillId="0" borderId="0" xfId="23" applyNumberFormat="1" applyFont="1" applyAlignment="1">
      <alignment horizontal="right"/>
    </xf>
    <xf numFmtId="0" fontId="5" fillId="7" borderId="0" xfId="23" applyFont="1" applyFill="1" applyAlignment="1">
      <alignment horizontal="left"/>
    </xf>
    <xf numFmtId="2" fontId="5" fillId="0" borderId="0" xfId="23" applyNumberFormat="1" applyFont="1" applyFill="1" applyAlignment="1">
      <alignment horizontal="center"/>
    </xf>
    <xf numFmtId="0" fontId="5" fillId="0" borderId="0" xfId="23" applyFont="1" applyFill="1"/>
    <xf numFmtId="0" fontId="5" fillId="0" borderId="0" xfId="23" applyFont="1" applyFill="1" applyAlignment="1"/>
    <xf numFmtId="0" fontId="5" fillId="0" borderId="0" xfId="23" applyFont="1" applyFill="1" applyAlignment="1">
      <alignment horizontal="center"/>
    </xf>
    <xf numFmtId="166" fontId="5" fillId="0" borderId="0" xfId="23" applyNumberFormat="1" applyFont="1" applyFill="1" applyAlignment="1">
      <alignment horizontal="right"/>
    </xf>
    <xf numFmtId="0" fontId="5" fillId="0" borderId="0" xfId="23" applyFont="1" applyFill="1" applyBorder="1"/>
    <xf numFmtId="2" fontId="5" fillId="0" borderId="0" xfId="23" applyNumberFormat="1" applyFont="1" applyFill="1" applyBorder="1" applyAlignment="1">
      <alignment horizontal="center"/>
    </xf>
    <xf numFmtId="1" fontId="5" fillId="0" borderId="0" xfId="23" applyNumberFormat="1" applyFont="1" applyFill="1" applyBorder="1" applyAlignment="1">
      <alignment horizontal="center"/>
    </xf>
    <xf numFmtId="0" fontId="5" fillId="0" borderId="0" xfId="23" applyFont="1" applyFill="1" applyBorder="1" applyAlignment="1">
      <alignment horizontal="center"/>
    </xf>
    <xf numFmtId="0" fontId="5" fillId="0" borderId="0" xfId="23" applyFont="1" applyFill="1" applyBorder="1" applyAlignment="1">
      <alignment horizontal="left"/>
    </xf>
    <xf numFmtId="0" fontId="5" fillId="0" borderId="0" xfId="23" applyFont="1" applyFill="1" applyBorder="1" applyAlignment="1"/>
    <xf numFmtId="0" fontId="5" fillId="0" borderId="0" xfId="23" applyFont="1" applyBorder="1"/>
    <xf numFmtId="2" fontId="5" fillId="0" borderId="0" xfId="23" applyNumberFormat="1" applyFont="1" applyBorder="1" applyAlignment="1">
      <alignment horizontal="center"/>
    </xf>
    <xf numFmtId="0" fontId="5" fillId="0" borderId="0" xfId="23" applyFont="1" applyBorder="1" applyAlignment="1">
      <alignment horizontal="center"/>
    </xf>
    <xf numFmtId="0" fontId="57" fillId="0" borderId="0" xfId="0" applyFont="1" applyFill="1"/>
    <xf numFmtId="0" fontId="57" fillId="0" borderId="0" xfId="0" applyFont="1" applyFill="1" applyAlignment="1">
      <alignment horizontal="left"/>
    </xf>
    <xf numFmtId="0" fontId="57" fillId="0" borderId="0" xfId="0" applyFont="1" applyFill="1" applyAlignment="1">
      <alignment horizontal="center"/>
    </xf>
    <xf numFmtId="1" fontId="57" fillId="0" borderId="0" xfId="0" applyNumberFormat="1" applyFont="1" applyFill="1" applyAlignment="1">
      <alignment horizontal="center"/>
    </xf>
    <xf numFmtId="0" fontId="57" fillId="0" borderId="0" xfId="0" applyFont="1" applyFill="1" applyBorder="1" applyAlignment="1">
      <alignment horizontal="center"/>
    </xf>
    <xf numFmtId="0" fontId="58" fillId="0" borderId="0" xfId="0" applyFont="1" applyFill="1"/>
    <xf numFmtId="2" fontId="57" fillId="0" borderId="0" xfId="0" applyNumberFormat="1" applyFont="1" applyFill="1" applyAlignment="1">
      <alignment horizontal="center"/>
    </xf>
    <xf numFmtId="1" fontId="5" fillId="0" borderId="0" xfId="0" applyNumberFormat="1" applyFont="1" applyFill="1" applyBorder="1" applyAlignment="1">
      <alignment horizontal="center"/>
    </xf>
    <xf numFmtId="0" fontId="5" fillId="7" borderId="0" xfId="23" applyFont="1" applyFill="1"/>
    <xf numFmtId="0" fontId="0" fillId="7" borderId="14" xfId="0" applyFill="1" applyBorder="1" applyAlignment="1">
      <alignment horizontal="left"/>
    </xf>
    <xf numFmtId="0" fontId="0" fillId="7" borderId="14" xfId="0" applyFill="1" applyBorder="1"/>
    <xf numFmtId="0" fontId="4" fillId="7" borderId="14" xfId="0" applyFont="1" applyFill="1" applyBorder="1" applyAlignment="1">
      <alignment horizontal="left"/>
    </xf>
    <xf numFmtId="2" fontId="0" fillId="7" borderId="14" xfId="0" applyNumberFormat="1" applyFill="1" applyBorder="1" applyAlignment="1">
      <alignment horizontal="left"/>
    </xf>
    <xf numFmtId="0" fontId="0" fillId="7" borderId="14" xfId="0" applyFont="1" applyFill="1" applyBorder="1" applyAlignment="1">
      <alignment horizontal="left"/>
    </xf>
    <xf numFmtId="0" fontId="23" fillId="7" borderId="14" xfId="0" applyFont="1" applyFill="1" applyBorder="1" applyAlignment="1">
      <alignment horizontal="left"/>
    </xf>
    <xf numFmtId="1" fontId="0" fillId="7" borderId="14" xfId="0" applyNumberFormat="1" applyFill="1" applyBorder="1" applyAlignment="1">
      <alignment horizontal="left"/>
    </xf>
    <xf numFmtId="1" fontId="0" fillId="7" borderId="0" xfId="0" applyNumberFormat="1" applyFill="1" applyBorder="1" applyAlignment="1">
      <alignment horizontal="left"/>
    </xf>
    <xf numFmtId="0" fontId="4" fillId="7" borderId="14" xfId="0" applyFont="1" applyFill="1" applyBorder="1"/>
    <xf numFmtId="0" fontId="4" fillId="7" borderId="14" xfId="0" applyFont="1" applyFill="1" applyBorder="1" applyAlignment="1">
      <alignment horizontal="left" readingOrder="1"/>
    </xf>
    <xf numFmtId="0" fontId="0" fillId="7" borderId="0" xfId="0" applyFill="1" applyAlignment="1"/>
    <xf numFmtId="0" fontId="0" fillId="7" borderId="14" xfId="0" applyFill="1" applyBorder="1" applyAlignment="1"/>
    <xf numFmtId="0" fontId="0" fillId="0" borderId="0" xfId="0" applyFill="1" applyAlignment="1"/>
    <xf numFmtId="0" fontId="59" fillId="7" borderId="0" xfId="0" applyFont="1" applyFill="1"/>
    <xf numFmtId="0" fontId="18" fillId="7" borderId="0" xfId="0" applyFont="1" applyFill="1"/>
    <xf numFmtId="0" fontId="26" fillId="0" borderId="0" xfId="0" applyFont="1" applyFill="1" applyAlignment="1">
      <alignment vertical="center"/>
    </xf>
    <xf numFmtId="0" fontId="0" fillId="7" borderId="0" xfId="0" applyFont="1" applyFill="1" applyAlignment="1">
      <alignment horizontal="left" vertical="center" wrapText="1"/>
    </xf>
    <xf numFmtId="0" fontId="47" fillId="7" borderId="14" xfId="0" applyFont="1" applyFill="1" applyBorder="1" applyAlignment="1">
      <alignment horizontal="left"/>
    </xf>
    <xf numFmtId="0" fontId="0" fillId="0" borderId="0" xfId="0" applyFont="1" applyFill="1" applyAlignment="1">
      <alignment horizontal="center"/>
    </xf>
    <xf numFmtId="0" fontId="24" fillId="7" borderId="0" xfId="0" applyFont="1" applyFill="1" applyBorder="1" applyAlignment="1"/>
    <xf numFmtId="0" fontId="29" fillId="0" borderId="0" xfId="0" applyFont="1" applyFill="1" applyAlignment="1">
      <alignment horizontal="left" vertical="center"/>
    </xf>
    <xf numFmtId="0" fontId="44" fillId="0" borderId="0" xfId="1" applyFont="1" applyFill="1" applyAlignment="1">
      <alignment horizontal="left"/>
    </xf>
    <xf numFmtId="0" fontId="0" fillId="7" borderId="0" xfId="0" applyFill="1" applyBorder="1"/>
    <xf numFmtId="1" fontId="0" fillId="0" borderId="0" xfId="0" applyNumberFormat="1" applyFont="1" applyFill="1" applyAlignment="1">
      <alignment horizontal="center"/>
    </xf>
    <xf numFmtId="0" fontId="18" fillId="7" borderId="14" xfId="0" applyFont="1" applyFill="1" applyBorder="1" applyAlignment="1"/>
    <xf numFmtId="0" fontId="18" fillId="7" borderId="0" xfId="0" applyFont="1" applyFill="1" applyBorder="1" applyAlignment="1"/>
    <xf numFmtId="0" fontId="15" fillId="7" borderId="0" xfId="0" applyFont="1" applyFill="1" applyAlignment="1">
      <alignment horizontal="left"/>
    </xf>
    <xf numFmtId="0" fontId="0" fillId="7" borderId="0" xfId="0" applyFont="1" applyFill="1" applyBorder="1" applyAlignment="1">
      <alignment horizontal="left"/>
    </xf>
    <xf numFmtId="0" fontId="0" fillId="7" borderId="0" xfId="0" applyFont="1" applyFill="1" applyBorder="1" applyAlignment="1">
      <alignment horizontal="left" wrapText="1"/>
    </xf>
    <xf numFmtId="0" fontId="18" fillId="7" borderId="0" xfId="0" applyFont="1" applyFill="1" applyBorder="1" applyAlignment="1">
      <alignment horizontal="left"/>
    </xf>
    <xf numFmtId="0" fontId="0" fillId="7" borderId="14" xfId="0" applyFont="1" applyFill="1" applyBorder="1" applyAlignment="1">
      <alignment horizontal="left" wrapText="1"/>
    </xf>
    <xf numFmtId="0" fontId="29" fillId="0" borderId="23" xfId="0" applyFont="1" applyFill="1" applyBorder="1"/>
    <xf numFmtId="0" fontId="0" fillId="0" borderId="23" xfId="0" applyFill="1" applyBorder="1"/>
    <xf numFmtId="0" fontId="24" fillId="0" borderId="23" xfId="0" applyFont="1" applyFill="1" applyBorder="1" applyAlignment="1">
      <alignment horizontal="left" vertical="center"/>
    </xf>
    <xf numFmtId="0" fontId="29" fillId="0" borderId="23" xfId="0" applyFont="1" applyFill="1" applyBorder="1" applyAlignment="1">
      <alignment horizontal="left"/>
    </xf>
    <xf numFmtId="0" fontId="44" fillId="0" borderId="23" xfId="0" applyFont="1" applyFill="1" applyBorder="1"/>
    <xf numFmtId="0" fontId="18" fillId="0" borderId="23" xfId="0" applyFont="1" applyFill="1" applyBorder="1"/>
    <xf numFmtId="0" fontId="66" fillId="7" borderId="0" xfId="0" applyFont="1" applyFill="1" applyBorder="1" applyAlignment="1">
      <alignment horizontal="left" wrapText="1"/>
    </xf>
    <xf numFmtId="0" fontId="18" fillId="7" borderId="0" xfId="0" applyFont="1" applyFill="1" applyBorder="1" applyAlignment="1">
      <alignment horizontal="left" wrapText="1"/>
    </xf>
    <xf numFmtId="0" fontId="18" fillId="7" borderId="14" xfId="0" applyFont="1" applyFill="1" applyBorder="1" applyAlignment="1">
      <alignment horizontal="left" wrapText="1"/>
    </xf>
    <xf numFmtId="0" fontId="2" fillId="0" borderId="23" xfId="1" applyFill="1" applyBorder="1"/>
    <xf numFmtId="0" fontId="29" fillId="0" borderId="23" xfId="0" applyFont="1" applyFill="1" applyBorder="1" applyAlignment="1">
      <alignment horizontal="center"/>
    </xf>
    <xf numFmtId="0" fontId="20" fillId="0" borderId="21" xfId="0" applyFont="1" applyBorder="1"/>
    <xf numFmtId="0" fontId="0" fillId="7" borderId="0" xfId="0" applyFont="1" applyFill="1"/>
    <xf numFmtId="0" fontId="0" fillId="0" borderId="0" xfId="0" applyFont="1" applyFill="1" applyAlignment="1">
      <alignment horizontal="left"/>
    </xf>
    <xf numFmtId="0" fontId="0" fillId="7" borderId="0" xfId="0" applyFont="1" applyFill="1" applyBorder="1"/>
    <xf numFmtId="0" fontId="17" fillId="0" borderId="0" xfId="0" applyFont="1" applyFill="1"/>
    <xf numFmtId="0" fontId="50" fillId="7" borderId="14" xfId="0" applyFont="1" applyFill="1" applyBorder="1" applyAlignment="1">
      <alignment horizontal="left"/>
    </xf>
    <xf numFmtId="0" fontId="0" fillId="7" borderId="0" xfId="0" applyFont="1" applyFill="1" applyBorder="1" applyAlignment="1">
      <alignment horizontal="left" vertical="center" wrapText="1"/>
    </xf>
    <xf numFmtId="0" fontId="18" fillId="7" borderId="0" xfId="0" applyFont="1" applyFill="1" applyBorder="1"/>
    <xf numFmtId="0" fontId="0" fillId="7" borderId="24" xfId="0" applyFill="1" applyBorder="1"/>
    <xf numFmtId="0" fontId="17" fillId="7" borderId="0" xfId="0" applyFont="1" applyFill="1" applyBorder="1" applyAlignment="1">
      <alignment horizontal="left"/>
    </xf>
    <xf numFmtId="0" fontId="17" fillId="7" borderId="14" xfId="0" applyFont="1" applyFill="1" applyBorder="1" applyAlignment="1">
      <alignment horizontal="left"/>
    </xf>
    <xf numFmtId="0" fontId="17" fillId="7" borderId="14" xfId="0" applyFont="1" applyFill="1" applyBorder="1" applyAlignment="1"/>
    <xf numFmtId="0" fontId="17" fillId="7" borderId="0" xfId="0" applyFont="1" applyFill="1" applyBorder="1" applyAlignment="1"/>
    <xf numFmtId="0" fontId="0" fillId="7" borderId="0" xfId="0" applyFont="1" applyFill="1" applyBorder="1" applyAlignment="1">
      <alignment vertical="center" wrapText="1"/>
    </xf>
    <xf numFmtId="0" fontId="44" fillId="0" borderId="23" xfId="0" applyFont="1" applyFill="1" applyBorder="1" applyAlignment="1">
      <alignment horizontal="left"/>
    </xf>
    <xf numFmtId="0" fontId="44" fillId="0" borderId="0" xfId="1" applyFont="1" applyFill="1"/>
    <xf numFmtId="0" fontId="29" fillId="0" borderId="0" xfId="0" applyFont="1" applyFill="1" applyBorder="1" applyAlignment="1">
      <alignment horizontal="left"/>
    </xf>
    <xf numFmtId="0" fontId="2" fillId="7" borderId="0" xfId="1" applyFill="1"/>
    <xf numFmtId="0" fontId="5" fillId="0" borderId="0" xfId="0" applyFont="1" applyFill="1" applyBorder="1" applyAlignment="1">
      <alignment horizontal="left"/>
    </xf>
    <xf numFmtId="0" fontId="25" fillId="7" borderId="0" xfId="0" applyFont="1" applyFill="1" applyBorder="1" applyAlignment="1">
      <alignment horizontal="left"/>
    </xf>
    <xf numFmtId="0" fontId="37" fillId="0" borderId="23" xfId="1" applyFont="1" applyFill="1" applyBorder="1" applyAlignment="1">
      <alignment horizontal="left"/>
    </xf>
    <xf numFmtId="0" fontId="26" fillId="0" borderId="23" xfId="0" applyFont="1" applyFill="1" applyBorder="1"/>
    <xf numFmtId="0" fontId="26" fillId="0" borderId="23" xfId="0" applyFont="1" applyFill="1" applyBorder="1" applyAlignment="1">
      <alignment horizontal="left"/>
    </xf>
    <xf numFmtId="0" fontId="44" fillId="0" borderId="25" xfId="0" applyFont="1" applyFill="1" applyBorder="1" applyAlignment="1">
      <alignment horizontal="left"/>
    </xf>
    <xf numFmtId="0" fontId="5" fillId="7" borderId="0" xfId="0" applyFont="1" applyFill="1" applyBorder="1" applyAlignment="1">
      <alignment horizontal="left" vertical="center"/>
    </xf>
    <xf numFmtId="0" fontId="18" fillId="0" borderId="0" xfId="2" applyFont="1" applyFill="1" applyAlignment="1">
      <alignment horizontal="center"/>
    </xf>
    <xf numFmtId="0" fontId="61" fillId="0" borderId="0" xfId="2" applyFont="1" applyFill="1" applyAlignment="1">
      <alignment horizontal="center"/>
    </xf>
    <xf numFmtId="0" fontId="40" fillId="7" borderId="0" xfId="9" applyFont="1" applyFill="1" applyBorder="1" applyAlignment="1"/>
    <xf numFmtId="0" fontId="40" fillId="7" borderId="14" xfId="9" applyFont="1" applyFill="1" applyBorder="1" applyAlignment="1"/>
    <xf numFmtId="2" fontId="18" fillId="0" borderId="0" xfId="0" applyNumberFormat="1" applyFont="1" applyFill="1" applyBorder="1" applyAlignment="1">
      <alignment horizontal="center"/>
    </xf>
    <xf numFmtId="0" fontId="70" fillId="0" borderId="25" xfId="0" applyFont="1" applyFill="1" applyBorder="1" applyAlignment="1">
      <alignment horizontal="left"/>
    </xf>
    <xf numFmtId="2" fontId="0" fillId="0" borderId="0" xfId="0" applyNumberFormat="1" applyFill="1" applyAlignment="1">
      <alignment horizontal="left"/>
    </xf>
    <xf numFmtId="0" fontId="44" fillId="0" borderId="23" xfId="1" applyFont="1" applyFill="1" applyBorder="1"/>
    <xf numFmtId="0" fontId="18" fillId="7" borderId="0" xfId="0" applyFont="1" applyFill="1" applyBorder="1" applyAlignment="1">
      <alignment vertical="center"/>
    </xf>
    <xf numFmtId="0" fontId="18" fillId="7" borderId="14" xfId="0" applyFont="1" applyFill="1" applyBorder="1" applyAlignment="1">
      <alignment vertical="center"/>
    </xf>
    <xf numFmtId="0" fontId="12" fillId="0" borderId="0" xfId="0" applyFont="1" applyFill="1" applyBorder="1" applyAlignment="1">
      <alignment horizontal="center"/>
    </xf>
    <xf numFmtId="0" fontId="26" fillId="0" borderId="23" xfId="0" applyFont="1" applyFill="1" applyBorder="1" applyAlignment="1">
      <alignment horizontal="center"/>
    </xf>
    <xf numFmtId="0" fontId="29" fillId="0" borderId="20" xfId="0" applyFont="1" applyFill="1" applyBorder="1" applyAlignment="1">
      <alignment horizontal="left"/>
    </xf>
    <xf numFmtId="0" fontId="18" fillId="7" borderId="0" xfId="0" applyFont="1" applyFill="1" applyBorder="1" applyAlignment="1">
      <alignment horizontal="left" vertical="center" wrapText="1"/>
    </xf>
    <xf numFmtId="0" fontId="18" fillId="7" borderId="14" xfId="0" applyFont="1" applyFill="1" applyBorder="1" applyAlignment="1">
      <alignment horizontal="left" vertical="center" wrapText="1"/>
    </xf>
    <xf numFmtId="0" fontId="0" fillId="4" borderId="26" xfId="0" applyFont="1" applyFill="1" applyBorder="1" applyAlignment="1">
      <alignment vertical="center"/>
    </xf>
    <xf numFmtId="0" fontId="18" fillId="0" borderId="25" xfId="1" applyFont="1" applyFill="1" applyBorder="1"/>
    <xf numFmtId="0" fontId="4" fillId="0" borderId="27" xfId="0" applyFont="1" applyFill="1" applyBorder="1" applyAlignment="1">
      <alignment horizontal="left" wrapText="1"/>
    </xf>
    <xf numFmtId="0" fontId="0" fillId="0" borderId="27" xfId="0" applyBorder="1" applyAlignment="1">
      <alignment wrapText="1"/>
    </xf>
    <xf numFmtId="0" fontId="20" fillId="0" borderId="22" xfId="0" applyFont="1" applyBorder="1"/>
    <xf numFmtId="0" fontId="0" fillId="0" borderId="22" xfId="0" applyFont="1" applyBorder="1"/>
    <xf numFmtId="0" fontId="0" fillId="4" borderId="27" xfId="0" applyFill="1" applyBorder="1" applyAlignment="1">
      <alignment wrapText="1"/>
    </xf>
    <xf numFmtId="0" fontId="34" fillId="0" borderId="22" xfId="0" applyFont="1" applyBorder="1"/>
    <xf numFmtId="0" fontId="34" fillId="0" borderId="27" xfId="0" applyFont="1" applyBorder="1" applyAlignment="1">
      <alignment wrapText="1"/>
    </xf>
    <xf numFmtId="0" fontId="0" fillId="0" borderId="22" xfId="0" applyBorder="1" applyAlignment="1">
      <alignment wrapText="1"/>
    </xf>
    <xf numFmtId="0" fontId="0" fillId="0" borderId="22" xfId="0" applyBorder="1"/>
    <xf numFmtId="0" fontId="20" fillId="0" borderId="22" xfId="0" applyFont="1" applyBorder="1" applyAlignment="1">
      <alignment wrapText="1"/>
    </xf>
    <xf numFmtId="0" fontId="34" fillId="0" borderId="22" xfId="0" applyFont="1" applyBorder="1" applyAlignment="1">
      <alignment wrapText="1"/>
    </xf>
    <xf numFmtId="0" fontId="34" fillId="0" borderId="28" xfId="0" applyFont="1" applyBorder="1"/>
    <xf numFmtId="0" fontId="0" fillId="4" borderId="22" xfId="0" applyFill="1" applyBorder="1" applyAlignment="1">
      <alignment wrapText="1"/>
    </xf>
    <xf numFmtId="0" fontId="4" fillId="0" borderId="22" xfId="0" applyFont="1" applyBorder="1"/>
    <xf numFmtId="0" fontId="0" fillId="0" borderId="22" xfId="0" applyFont="1" applyBorder="1" applyAlignment="1">
      <alignment horizontal="left" wrapText="1"/>
    </xf>
    <xf numFmtId="0" fontId="0" fillId="0" borderId="29" xfId="0" applyBorder="1" applyAlignment="1">
      <alignment wrapText="1"/>
    </xf>
    <xf numFmtId="0" fontId="0" fillId="0" borderId="10" xfId="0" applyBorder="1"/>
    <xf numFmtId="0" fontId="0" fillId="0" borderId="10" xfId="0" applyFont="1" applyBorder="1"/>
    <xf numFmtId="0" fontId="34" fillId="0" borderId="10" xfId="0" applyFont="1" applyBorder="1"/>
    <xf numFmtId="0" fontId="0" fillId="4" borderId="10" xfId="0" applyFill="1" applyBorder="1"/>
    <xf numFmtId="49" fontId="31" fillId="0" borderId="10" xfId="0" applyNumberFormat="1" applyFont="1" applyBorder="1" applyAlignment="1">
      <alignment horizontal="left"/>
    </xf>
    <xf numFmtId="0" fontId="0" fillId="0" borderId="21" xfId="0" applyBorder="1" applyAlignment="1">
      <alignment vertical="center"/>
    </xf>
    <xf numFmtId="0" fontId="45" fillId="0" borderId="0" xfId="0" applyFont="1" applyFill="1" applyBorder="1" applyAlignment="1">
      <alignment horizontal="left"/>
    </xf>
    <xf numFmtId="0" fontId="0" fillId="0" borderId="0" xfId="0" applyFill="1" applyBorder="1" applyAlignment="1">
      <alignment horizontal="left"/>
    </xf>
    <xf numFmtId="0" fontId="0" fillId="7" borderId="0" xfId="0" applyFont="1" applyFill="1" applyAlignment="1"/>
    <xf numFmtId="0" fontId="5" fillId="0" borderId="0" xfId="0" applyFont="1" applyFill="1" applyBorder="1"/>
    <xf numFmtId="0" fontId="5" fillId="0" borderId="0" xfId="1" applyFont="1" applyFill="1" applyBorder="1"/>
    <xf numFmtId="0" fontId="5" fillId="0" borderId="0" xfId="0" applyFont="1" applyFill="1" applyBorder="1" applyAlignment="1">
      <alignment horizontal="left" vertical="center"/>
    </xf>
    <xf numFmtId="0" fontId="25" fillId="0" borderId="0" xfId="0" applyFont="1" applyFill="1" applyBorder="1" applyAlignment="1">
      <alignment horizontal="left" vertical="center"/>
    </xf>
    <xf numFmtId="0" fontId="25" fillId="0" borderId="0" xfId="0" applyFont="1" applyFill="1" applyBorder="1" applyAlignment="1">
      <alignment horizontal="left" vertical="center" wrapText="1"/>
    </xf>
    <xf numFmtId="1" fontId="25" fillId="0" borderId="0" xfId="0" applyNumberFormat="1" applyFont="1" applyFill="1" applyBorder="1" applyAlignment="1">
      <alignment horizontal="center"/>
    </xf>
    <xf numFmtId="0" fontId="57" fillId="0" borderId="0" xfId="0" applyFont="1" applyFill="1" applyBorder="1" applyAlignment="1">
      <alignment horizontal="left"/>
    </xf>
    <xf numFmtId="0" fontId="5" fillId="0" borderId="0" xfId="0" applyFont="1" applyFill="1" applyBorder="1" applyAlignment="1">
      <alignment horizontal="center"/>
    </xf>
    <xf numFmtId="1" fontId="49" fillId="0" borderId="0" xfId="0" applyNumberFormat="1" applyFont="1" applyFill="1" applyBorder="1" applyAlignment="1">
      <alignment horizontal="center"/>
    </xf>
    <xf numFmtId="0" fontId="73" fillId="0" borderId="0" xfId="0" applyFont="1" applyFill="1" applyBorder="1" applyAlignment="1">
      <alignment horizontal="left"/>
    </xf>
    <xf numFmtId="1" fontId="17" fillId="0" borderId="0" xfId="0" applyNumberFormat="1" applyFont="1" applyFill="1" applyBorder="1" applyAlignment="1">
      <alignment horizontal="center"/>
    </xf>
    <xf numFmtId="0" fontId="40" fillId="0" borderId="0" xfId="0" applyFont="1" applyFill="1" applyBorder="1" applyAlignment="1">
      <alignment horizontal="left" vertical="center"/>
    </xf>
    <xf numFmtId="0" fontId="17" fillId="0" borderId="0" xfId="0" applyFont="1" applyFill="1" applyBorder="1" applyAlignment="1">
      <alignment horizontal="left" vertical="center"/>
    </xf>
    <xf numFmtId="2" fontId="17" fillId="0" borderId="0" xfId="0" applyNumberFormat="1" applyFont="1" applyFill="1" applyBorder="1" applyAlignment="1">
      <alignment horizontal="center"/>
    </xf>
    <xf numFmtId="0" fontId="40" fillId="0" borderId="0" xfId="0" applyFont="1" applyFill="1" applyBorder="1" applyAlignment="1">
      <alignment horizontal="left"/>
    </xf>
    <xf numFmtId="0" fontId="40" fillId="0" borderId="0" xfId="0" applyFont="1" applyFill="1" applyBorder="1" applyAlignment="1">
      <alignment horizontal="center"/>
    </xf>
    <xf numFmtId="0" fontId="40" fillId="0" borderId="0" xfId="1" applyFont="1" applyFill="1" applyBorder="1"/>
    <xf numFmtId="0" fontId="40" fillId="0" borderId="0" xfId="0" applyFont="1" applyFill="1" applyBorder="1"/>
    <xf numFmtId="0" fontId="17" fillId="0" borderId="0" xfId="0" applyFont="1" applyFill="1" applyBorder="1" applyAlignment="1">
      <alignment horizontal="left" vertical="center" wrapText="1"/>
    </xf>
    <xf numFmtId="0" fontId="28" fillId="0" borderId="0" xfId="0" applyFont="1" applyAlignment="1">
      <alignment wrapText="1"/>
    </xf>
    <xf numFmtId="0" fontId="0" fillId="4" borderId="0" xfId="0" applyFont="1" applyFill="1" applyBorder="1" applyAlignment="1">
      <alignment wrapText="1"/>
    </xf>
    <xf numFmtId="0" fontId="20" fillId="4" borderId="0" xfId="0" applyFont="1" applyFill="1" applyBorder="1" applyAlignment="1">
      <alignment vertical="center"/>
    </xf>
    <xf numFmtId="0" fontId="20" fillId="0" borderId="0" xfId="0" applyFont="1" applyBorder="1" applyAlignment="1">
      <alignment wrapText="1"/>
    </xf>
    <xf numFmtId="0" fontId="20" fillId="0" borderId="0" xfId="0" applyFont="1" applyAlignment="1"/>
    <xf numFmtId="0" fontId="20" fillId="0" borderId="0" xfId="0" applyFont="1" applyAlignment="1">
      <alignment horizontal="left"/>
    </xf>
    <xf numFmtId="0" fontId="40" fillId="0" borderId="0" xfId="1" applyFont="1" applyFill="1" applyBorder="1" applyAlignment="1">
      <alignment horizontal="center"/>
    </xf>
    <xf numFmtId="0" fontId="17" fillId="0" borderId="0" xfId="0" applyFont="1" applyFill="1" applyBorder="1"/>
    <xf numFmtId="0" fontId="38" fillId="0" borderId="23" xfId="1" applyFont="1" applyFill="1" applyBorder="1" applyAlignment="1">
      <alignment horizontal="left"/>
    </xf>
    <xf numFmtId="0" fontId="44" fillId="0" borderId="23" xfId="1" applyFont="1" applyFill="1" applyBorder="1" applyAlignment="1">
      <alignment horizontal="center"/>
    </xf>
    <xf numFmtId="2" fontId="18" fillId="0" borderId="0" xfId="1" applyNumberFormat="1" applyFont="1" applyFill="1" applyAlignment="1">
      <alignment horizontal="center"/>
    </xf>
    <xf numFmtId="1" fontId="61" fillId="0" borderId="0" xfId="1" applyNumberFormat="1" applyFont="1" applyFill="1" applyAlignment="1">
      <alignment horizontal="center"/>
    </xf>
    <xf numFmtId="0" fontId="40" fillId="0" borderId="0" xfId="0" applyFont="1" applyFill="1" applyAlignment="1">
      <alignment horizontal="center"/>
    </xf>
    <xf numFmtId="0" fontId="18" fillId="0" borderId="0" xfId="0" applyFont="1" applyFill="1" applyAlignment="1">
      <alignment horizontal="left"/>
    </xf>
    <xf numFmtId="0" fontId="44" fillId="0" borderId="0" xfId="0" applyFont="1" applyFill="1" applyAlignment="1">
      <alignment horizontal="left" vertical="center"/>
    </xf>
    <xf numFmtId="0" fontId="44" fillId="0" borderId="0" xfId="0" applyFont="1" applyFill="1" applyAlignment="1">
      <alignment horizontal="left"/>
    </xf>
    <xf numFmtId="0" fontId="0" fillId="0" borderId="22" xfId="0" applyBorder="1" applyAlignment="1"/>
    <xf numFmtId="0" fontId="4" fillId="7" borderId="0" xfId="0" applyFont="1" applyFill="1" applyBorder="1"/>
    <xf numFmtId="0" fontId="0" fillId="13" borderId="0" xfId="0" applyFill="1" applyAlignment="1">
      <alignment horizontal="left"/>
    </xf>
    <xf numFmtId="1" fontId="18" fillId="0" borderId="0" xfId="0" applyNumberFormat="1" applyFont="1" applyFill="1" applyAlignment="1">
      <alignment horizontal="center"/>
    </xf>
    <xf numFmtId="1" fontId="61" fillId="0" borderId="0" xfId="0" applyNumberFormat="1" applyFont="1" applyFill="1" applyAlignment="1">
      <alignment horizontal="center"/>
    </xf>
    <xf numFmtId="0" fontId="0" fillId="0" borderId="0" xfId="0" applyFont="1" applyFill="1" applyBorder="1" applyAlignment="1">
      <alignment horizontal="center"/>
    </xf>
    <xf numFmtId="0" fontId="15" fillId="0" borderId="0" xfId="0" applyFont="1" applyFill="1" applyBorder="1" applyAlignment="1">
      <alignment horizontal="center"/>
    </xf>
    <xf numFmtId="0" fontId="29" fillId="0" borderId="0" xfId="0" applyFont="1" applyFill="1" applyBorder="1"/>
    <xf numFmtId="0" fontId="15" fillId="7" borderId="0" xfId="0" applyFont="1" applyFill="1" applyBorder="1" applyAlignment="1">
      <alignment horizontal="left"/>
    </xf>
    <xf numFmtId="0" fontId="15" fillId="7" borderId="14" xfId="0" applyFont="1" applyFill="1" applyBorder="1" applyAlignment="1">
      <alignment horizontal="left"/>
    </xf>
    <xf numFmtId="0" fontId="26" fillId="0" borderId="0" xfId="0" applyFont="1" applyFill="1"/>
    <xf numFmtId="0" fontId="44" fillId="0" borderId="23" xfId="0" applyFont="1" applyFill="1" applyBorder="1" applyAlignment="1">
      <alignment horizontal="center"/>
    </xf>
    <xf numFmtId="0" fontId="26" fillId="0" borderId="0" xfId="0" applyFont="1" applyFill="1" applyAlignment="1">
      <alignment horizontal="left" vertical="center"/>
    </xf>
    <xf numFmtId="2" fontId="29" fillId="0" borderId="0" xfId="0" applyNumberFormat="1" applyFont="1" applyFill="1" applyAlignment="1">
      <alignment horizontal="left"/>
    </xf>
    <xf numFmtId="2" fontId="44" fillId="0" borderId="23" xfId="0" applyNumberFormat="1" applyFont="1" applyFill="1" applyBorder="1" applyAlignment="1">
      <alignment horizontal="left"/>
    </xf>
    <xf numFmtId="0" fontId="47" fillId="7" borderId="14" xfId="0" applyFont="1" applyFill="1" applyBorder="1" applyAlignment="1">
      <alignment vertical="top"/>
    </xf>
    <xf numFmtId="0" fontId="47" fillId="7" borderId="0" xfId="0" applyFont="1" applyFill="1" applyBorder="1" applyAlignment="1">
      <alignment vertical="top"/>
    </xf>
    <xf numFmtId="0" fontId="74" fillId="0" borderId="0" xfId="0" applyFont="1" applyFill="1" applyBorder="1" applyAlignment="1">
      <alignment horizontal="left"/>
    </xf>
    <xf numFmtId="0" fontId="74" fillId="0" borderId="0" xfId="0" applyFont="1" applyFill="1" applyBorder="1" applyAlignment="1">
      <alignment horizontal="center"/>
    </xf>
    <xf numFmtId="0" fontId="76" fillId="0" borderId="0" xfId="0" applyFont="1" applyFill="1" applyBorder="1" applyAlignment="1">
      <alignment horizontal="left"/>
    </xf>
    <xf numFmtId="0" fontId="74" fillId="0" borderId="0" xfId="0" applyFont="1" applyFill="1" applyBorder="1"/>
    <xf numFmtId="0" fontId="12" fillId="0" borderId="23" xfId="0" applyFont="1" applyFill="1" applyBorder="1" applyAlignment="1">
      <alignment vertical="center"/>
    </xf>
    <xf numFmtId="0" fontId="29" fillId="0" borderId="23" xfId="0" applyFont="1" applyFill="1" applyBorder="1" applyAlignment="1">
      <alignment vertical="center"/>
    </xf>
    <xf numFmtId="0" fontId="36" fillId="0" borderId="23" xfId="0" applyFont="1" applyFill="1" applyBorder="1" applyAlignment="1">
      <alignment vertical="top"/>
    </xf>
    <xf numFmtId="0" fontId="43" fillId="0" borderId="0" xfId="0" applyFont="1" applyFill="1" applyBorder="1"/>
    <xf numFmtId="0" fontId="4" fillId="0" borderId="23" xfId="0" applyFont="1" applyFill="1" applyBorder="1"/>
    <xf numFmtId="0" fontId="4" fillId="0" borderId="0" xfId="0" applyFont="1" applyFill="1" applyBorder="1"/>
    <xf numFmtId="0" fontId="17" fillId="0" borderId="23" xfId="0" applyFont="1" applyFill="1" applyBorder="1" applyAlignment="1">
      <alignment horizontal="left"/>
    </xf>
    <xf numFmtId="0" fontId="4" fillId="0" borderId="25" xfId="0" applyFont="1" applyFill="1" applyBorder="1"/>
    <xf numFmtId="0" fontId="0" fillId="7" borderId="14" xfId="0" applyFont="1" applyFill="1" applyBorder="1" applyAlignment="1">
      <alignment horizontal="left" vertical="center" wrapText="1"/>
    </xf>
    <xf numFmtId="0" fontId="61" fillId="0" borderId="0" xfId="26" applyFont="1" applyFill="1" applyAlignment="1">
      <alignment horizontal="center"/>
    </xf>
    <xf numFmtId="0" fontId="18" fillId="0" borderId="0" xfId="26" applyFont="1" applyFill="1" applyAlignment="1">
      <alignment horizontal="center"/>
    </xf>
    <xf numFmtId="2" fontId="74" fillId="0" borderId="0" xfId="0" applyNumberFormat="1" applyFont="1" applyFill="1" applyBorder="1" applyAlignment="1">
      <alignment horizontal="center"/>
    </xf>
    <xf numFmtId="0" fontId="75" fillId="0" borderId="0" xfId="0" applyFont="1" applyFill="1" applyBorder="1" applyAlignment="1">
      <alignment horizontal="center"/>
    </xf>
    <xf numFmtId="1" fontId="74" fillId="0" borderId="0" xfId="0" applyNumberFormat="1" applyFont="1" applyFill="1" applyBorder="1" applyAlignment="1">
      <alignment horizontal="center"/>
    </xf>
    <xf numFmtId="0" fontId="74" fillId="0" borderId="0" xfId="0" applyFont="1" applyFill="1" applyBorder="1" applyAlignment="1">
      <alignment horizontal="left" vertical="center"/>
    </xf>
    <xf numFmtId="0" fontId="44" fillId="0" borderId="0" xfId="0" applyFont="1" applyFill="1" applyBorder="1" applyAlignment="1">
      <alignment horizontal="left"/>
    </xf>
    <xf numFmtId="0" fontId="42" fillId="0" borderId="0" xfId="1" applyFont="1" applyFill="1" applyBorder="1" applyAlignment="1">
      <alignment horizontal="center"/>
    </xf>
    <xf numFmtId="0" fontId="37" fillId="0" borderId="0" xfId="1" applyFont="1" applyFill="1" applyBorder="1" applyAlignment="1">
      <alignment horizontal="left"/>
    </xf>
    <xf numFmtId="0" fontId="17" fillId="13" borderId="0" xfId="0" applyFont="1" applyFill="1" applyBorder="1" applyAlignment="1">
      <alignment horizontal="center"/>
    </xf>
    <xf numFmtId="0" fontId="0" fillId="9" borderId="0" xfId="0" applyFill="1" applyBorder="1" applyAlignment="1">
      <alignment horizontal="left"/>
    </xf>
    <xf numFmtId="0" fontId="0" fillId="13" borderId="0" xfId="0" applyFill="1" applyBorder="1" applyAlignment="1">
      <alignment horizontal="left"/>
    </xf>
    <xf numFmtId="0" fontId="0" fillId="0" borderId="0" xfId="0" applyFill="1" applyBorder="1" applyAlignment="1">
      <alignment horizontal="center" wrapText="1"/>
    </xf>
    <xf numFmtId="0" fontId="12" fillId="0" borderId="0" xfId="0" applyFont="1" applyFill="1" applyBorder="1" applyAlignment="1">
      <alignment horizontal="left" wrapText="1"/>
    </xf>
    <xf numFmtId="0" fontId="0" fillId="0" borderId="0" xfId="0" applyFill="1" applyBorder="1" applyAlignment="1">
      <alignment horizontal="left" wrapText="1"/>
    </xf>
    <xf numFmtId="0" fontId="17" fillId="0" borderId="0" xfId="0" applyFont="1" applyFill="1" applyBorder="1" applyAlignment="1">
      <alignment horizontal="left" wrapText="1"/>
    </xf>
    <xf numFmtId="0" fontId="29" fillId="0" borderId="0" xfId="0" applyFont="1" applyFill="1" applyBorder="1" applyAlignment="1">
      <alignment horizontal="left" wrapText="1"/>
    </xf>
    <xf numFmtId="0" fontId="44" fillId="0" borderId="0" xfId="0" applyFont="1" applyFill="1" applyBorder="1" applyAlignment="1">
      <alignment horizontal="left" wrapText="1"/>
    </xf>
    <xf numFmtId="0" fontId="26" fillId="0" borderId="0" xfId="0" applyFont="1" applyFill="1" applyBorder="1"/>
    <xf numFmtId="0" fontId="26" fillId="0" borderId="0" xfId="0" applyFont="1" applyFill="1" applyBorder="1" applyAlignment="1">
      <alignment horizontal="left"/>
    </xf>
    <xf numFmtId="0" fontId="29" fillId="0" borderId="0" xfId="0" applyFont="1" applyFill="1" applyBorder="1" applyAlignment="1">
      <alignment horizontal="center"/>
    </xf>
    <xf numFmtId="2" fontId="2" fillId="0" borderId="0" xfId="1" applyNumberFormat="1" applyFill="1" applyBorder="1" applyAlignment="1">
      <alignment horizontal="center"/>
    </xf>
    <xf numFmtId="0" fontId="29" fillId="0" borderId="0" xfId="0" applyFont="1" applyFill="1" applyBorder="1" applyAlignment="1">
      <alignment horizontal="left" vertical="center"/>
    </xf>
    <xf numFmtId="0" fontId="2" fillId="9" borderId="0" xfId="1" applyFill="1" applyBorder="1" applyAlignment="1">
      <alignment horizontal="left"/>
    </xf>
    <xf numFmtId="0" fontId="1" fillId="0" borderId="0" xfId="0" applyFont="1" applyFill="1" applyBorder="1"/>
    <xf numFmtId="0" fontId="26" fillId="0" borderId="0" xfId="1" applyFont="1" applyFill="1" applyBorder="1" applyAlignment="1">
      <alignment horizontal="left"/>
    </xf>
    <xf numFmtId="0" fontId="29" fillId="0" borderId="0" xfId="1" applyFont="1" applyFill="1" applyBorder="1" applyAlignment="1">
      <alignment horizontal="center"/>
    </xf>
    <xf numFmtId="2" fontId="1" fillId="0" borderId="0" xfId="1" applyNumberFormat="1" applyFont="1" applyFill="1" applyBorder="1" applyAlignment="1">
      <alignment horizontal="center"/>
    </xf>
    <xf numFmtId="1" fontId="12" fillId="0" borderId="0" xfId="1" applyNumberFormat="1" applyFont="1" applyFill="1" applyBorder="1" applyAlignment="1">
      <alignment horizontal="center"/>
    </xf>
    <xf numFmtId="1" fontId="1" fillId="0" borderId="0" xfId="0" applyNumberFormat="1" applyFont="1" applyFill="1" applyBorder="1" applyAlignment="1">
      <alignment horizontal="center"/>
    </xf>
    <xf numFmtId="0" fontId="1" fillId="0" borderId="0" xfId="0" applyFont="1" applyFill="1" applyBorder="1" applyAlignment="1">
      <alignment horizontal="left"/>
    </xf>
    <xf numFmtId="0" fontId="1" fillId="0" borderId="0" xfId="0" applyFont="1" applyFill="1" applyBorder="1" applyAlignment="1">
      <alignment horizontal="center"/>
    </xf>
    <xf numFmtId="0" fontId="37" fillId="0" borderId="0" xfId="1" applyFont="1" applyFill="1" applyBorder="1"/>
    <xf numFmtId="0" fontId="42" fillId="0" borderId="0" xfId="1" applyFont="1" applyFill="1" applyBorder="1"/>
    <xf numFmtId="1" fontId="46" fillId="0" borderId="0" xfId="1" applyNumberFormat="1" applyFont="1" applyFill="1" applyBorder="1" applyAlignment="1">
      <alignment horizontal="center"/>
    </xf>
    <xf numFmtId="0" fontId="29" fillId="0" borderId="0" xfId="1" applyFont="1" applyFill="1" applyBorder="1"/>
    <xf numFmtId="0" fontId="0" fillId="13" borderId="0" xfId="0" applyFont="1" applyFill="1" applyBorder="1" applyAlignment="1">
      <alignment horizontal="left"/>
    </xf>
    <xf numFmtId="2" fontId="12" fillId="0" borderId="0" xfId="0" applyNumberFormat="1" applyFont="1" applyFill="1" applyBorder="1" applyAlignment="1">
      <alignment horizontal="center"/>
    </xf>
    <xf numFmtId="1" fontId="52" fillId="0" borderId="0" xfId="0" applyNumberFormat="1" applyFont="1" applyFill="1" applyBorder="1" applyAlignment="1">
      <alignment horizontal="center"/>
    </xf>
    <xf numFmtId="0" fontId="50" fillId="0" borderId="0" xfId="0" applyFont="1" applyFill="1" applyBorder="1" applyAlignment="1">
      <alignment horizontal="center"/>
    </xf>
    <xf numFmtId="0" fontId="44" fillId="0" borderId="0" xfId="0" applyFont="1" applyFill="1" applyBorder="1"/>
    <xf numFmtId="0" fontId="55" fillId="0" borderId="23" xfId="0" applyFont="1" applyFill="1" applyBorder="1" applyAlignment="1">
      <alignment horizontal="center"/>
    </xf>
    <xf numFmtId="0" fontId="18" fillId="7" borderId="14" xfId="0" applyFont="1" applyFill="1" applyBorder="1"/>
    <xf numFmtId="0" fontId="29" fillId="0" borderId="23" xfId="0" applyFont="1" applyFill="1" applyBorder="1" applyAlignment="1"/>
    <xf numFmtId="0" fontId="18" fillId="0" borderId="0" xfId="0" applyFont="1" applyFill="1" applyBorder="1"/>
    <xf numFmtId="0" fontId="38" fillId="0" borderId="0" xfId="1" applyFont="1" applyFill="1" applyBorder="1"/>
    <xf numFmtId="2" fontId="18" fillId="0" borderId="0" xfId="1" applyNumberFormat="1" applyFont="1" applyFill="1" applyBorder="1" applyAlignment="1">
      <alignment horizontal="center"/>
    </xf>
    <xf numFmtId="1" fontId="61" fillId="0" borderId="0" xfId="1" applyNumberFormat="1" applyFont="1" applyFill="1" applyBorder="1" applyAlignment="1">
      <alignment horizontal="center"/>
    </xf>
    <xf numFmtId="1" fontId="18" fillId="0" borderId="0" xfId="0" applyNumberFormat="1" applyFont="1" applyFill="1" applyBorder="1" applyAlignment="1">
      <alignment horizontal="center"/>
    </xf>
    <xf numFmtId="1" fontId="40" fillId="0" borderId="0" xfId="0" applyNumberFormat="1" applyFont="1" applyFill="1" applyBorder="1" applyAlignment="1">
      <alignment horizontal="center"/>
    </xf>
    <xf numFmtId="0" fontId="18" fillId="0" borderId="0" xfId="0" applyFont="1" applyFill="1" applyBorder="1" applyAlignment="1">
      <alignment horizontal="left"/>
    </xf>
    <xf numFmtId="0" fontId="44" fillId="0" borderId="0" xfId="0" applyFont="1" applyFill="1" applyBorder="1" applyAlignment="1">
      <alignment horizontal="left" vertical="center"/>
    </xf>
    <xf numFmtId="0" fontId="18" fillId="0" borderId="0" xfId="0" applyFont="1" applyFill="1" applyBorder="1" applyAlignment="1">
      <alignment horizontal="center"/>
    </xf>
    <xf numFmtId="0" fontId="80" fillId="0" borderId="0" xfId="1" applyFont="1" applyFill="1" applyBorder="1"/>
    <xf numFmtId="0" fontId="37" fillId="0" borderId="23" xfId="1" applyFont="1" applyFill="1" applyBorder="1" applyAlignment="1">
      <alignment horizontal="center"/>
    </xf>
    <xf numFmtId="0" fontId="37" fillId="0" borderId="0" xfId="1" applyFont="1" applyFill="1" applyBorder="1" applyAlignment="1">
      <alignment horizontal="center"/>
    </xf>
    <xf numFmtId="0" fontId="26" fillId="0" borderId="0" xfId="0" applyFont="1" applyFill="1" applyBorder="1" applyAlignment="1">
      <alignment horizontal="center"/>
    </xf>
    <xf numFmtId="2" fontId="26" fillId="0" borderId="23" xfId="0" applyNumberFormat="1" applyFont="1" applyFill="1" applyBorder="1" applyAlignment="1">
      <alignment horizontal="center"/>
    </xf>
    <xf numFmtId="0" fontId="38" fillId="0" borderId="0" xfId="1" applyFont="1" applyFill="1" applyBorder="1" applyAlignment="1">
      <alignment horizontal="center"/>
    </xf>
    <xf numFmtId="0" fontId="30" fillId="0" borderId="0" xfId="0" applyFont="1" applyFill="1" applyBorder="1" applyAlignment="1">
      <alignment horizontal="center"/>
    </xf>
    <xf numFmtId="0" fontId="4" fillId="0" borderId="30" xfId="0" applyFont="1" applyFill="1" applyBorder="1" applyAlignment="1">
      <alignment horizontal="left" vertical="center"/>
    </xf>
    <xf numFmtId="0" fontId="30" fillId="10" borderId="14" xfId="0" applyFont="1" applyFill="1" applyBorder="1" applyAlignment="1">
      <alignment horizontal="left"/>
    </xf>
    <xf numFmtId="0" fontId="30" fillId="10" borderId="14" xfId="0" applyFont="1" applyFill="1" applyBorder="1" applyAlignment="1">
      <alignment horizontal="center"/>
    </xf>
    <xf numFmtId="0" fontId="80" fillId="0" borderId="0" xfId="1" applyFont="1" applyFill="1" applyBorder="1" applyAlignment="1">
      <alignment vertical="center"/>
    </xf>
    <xf numFmtId="2" fontId="2" fillId="0" borderId="0" xfId="1" applyNumberFormat="1" applyFill="1" applyAlignment="1">
      <alignment horizontal="center" vertical="center"/>
    </xf>
    <xf numFmtId="2" fontId="46" fillId="0" borderId="0" xfId="1" applyNumberFormat="1" applyFont="1" applyFill="1" applyAlignment="1">
      <alignment horizontal="center" vertical="center"/>
    </xf>
    <xf numFmtId="0" fontId="0" fillId="0" borderId="0" xfId="0" applyFill="1" applyAlignment="1">
      <alignment horizontal="left" vertical="center"/>
    </xf>
    <xf numFmtId="0" fontId="0" fillId="0" borderId="0" xfId="0" applyAlignment="1">
      <alignment vertical="center"/>
    </xf>
    <xf numFmtId="0" fontId="17" fillId="0" borderId="0" xfId="0" applyFont="1" applyFill="1" applyAlignment="1">
      <alignment horizontal="left"/>
    </xf>
    <xf numFmtId="0" fontId="17" fillId="0" borderId="0" xfId="0" applyFont="1" applyFill="1" applyAlignment="1">
      <alignment horizontal="left" vertical="center"/>
    </xf>
    <xf numFmtId="0" fontId="26" fillId="0" borderId="0" xfId="0" applyFont="1" applyFill="1" applyAlignment="1">
      <alignment horizontal="left"/>
    </xf>
    <xf numFmtId="165" fontId="0" fillId="6" borderId="2" xfId="0" applyNumberFormat="1" applyFill="1" applyBorder="1" applyAlignment="1">
      <alignment horizontal="center"/>
    </xf>
    <xf numFmtId="0" fontId="0" fillId="6" borderId="5" xfId="0" applyFill="1" applyBorder="1" applyAlignment="1">
      <alignment horizontal="center"/>
    </xf>
    <xf numFmtId="0" fontId="0" fillId="0" borderId="0" xfId="0" applyFont="1" applyFill="1" applyBorder="1"/>
    <xf numFmtId="0" fontId="0" fillId="6" borderId="0" xfId="0" applyFill="1" applyAlignment="1">
      <alignment horizontal="center"/>
    </xf>
    <xf numFmtId="1" fontId="0" fillId="6" borderId="5" xfId="0" applyNumberFormat="1" applyFill="1" applyBorder="1" applyAlignment="1">
      <alignment horizontal="center"/>
    </xf>
    <xf numFmtId="1" fontId="0" fillId="6" borderId="2" xfId="0" applyNumberFormat="1" applyFill="1" applyBorder="1" applyAlignment="1">
      <alignment horizontal="center"/>
    </xf>
    <xf numFmtId="165" fontId="0" fillId="5" borderId="11" xfId="0" applyNumberFormat="1" applyFill="1" applyBorder="1" applyAlignment="1">
      <alignment horizontal="center"/>
    </xf>
    <xf numFmtId="165" fontId="0" fillId="6" borderId="11" xfId="0" applyNumberFormat="1" applyFill="1" applyBorder="1" applyAlignment="1">
      <alignment horizontal="center"/>
    </xf>
    <xf numFmtId="165" fontId="0" fillId="6" borderId="6" xfId="0" applyNumberFormat="1" applyFill="1" applyBorder="1" applyAlignment="1">
      <alignment horizontal="center"/>
    </xf>
    <xf numFmtId="0" fontId="0" fillId="6" borderId="8" xfId="0" applyFont="1" applyFill="1" applyBorder="1"/>
    <xf numFmtId="0" fontId="0" fillId="6" borderId="9" xfId="0" applyFont="1" applyFill="1" applyBorder="1"/>
    <xf numFmtId="0" fontId="0" fillId="5" borderId="8" xfId="0" applyFont="1" applyFill="1" applyBorder="1"/>
    <xf numFmtId="2" fontId="0" fillId="6" borderId="10" xfId="0" applyNumberFormat="1" applyFont="1" applyFill="1" applyBorder="1" applyAlignment="1">
      <alignment horizontal="center"/>
    </xf>
    <xf numFmtId="2" fontId="0" fillId="6" borderId="11" xfId="0" applyNumberFormat="1" applyFill="1" applyBorder="1" applyAlignment="1">
      <alignment horizontal="center"/>
    </xf>
    <xf numFmtId="2" fontId="0" fillId="6" borderId="5" xfId="0" applyNumberFormat="1" applyFont="1" applyFill="1" applyBorder="1" applyAlignment="1">
      <alignment horizontal="center"/>
    </xf>
    <xf numFmtId="2" fontId="0" fillId="6" borderId="6" xfId="0" applyNumberFormat="1" applyFill="1" applyBorder="1" applyAlignment="1">
      <alignment horizontal="center"/>
    </xf>
    <xf numFmtId="2" fontId="0" fillId="5" borderId="10" xfId="0" applyNumberFormat="1" applyFont="1" applyFill="1" applyBorder="1" applyAlignment="1">
      <alignment horizontal="center"/>
    </xf>
    <xf numFmtId="2" fontId="0" fillId="5" borderId="11" xfId="0" applyNumberFormat="1" applyFill="1" applyBorder="1" applyAlignment="1">
      <alignment horizontal="center"/>
    </xf>
    <xf numFmtId="1" fontId="0" fillId="0" borderId="4" xfId="0" applyNumberFormat="1" applyFill="1" applyBorder="1" applyAlignment="1">
      <alignment horizontal="center"/>
    </xf>
    <xf numFmtId="1" fontId="0" fillId="0" borderId="6" xfId="0" applyNumberFormat="1" applyFill="1" applyBorder="1" applyAlignment="1">
      <alignment horizontal="center"/>
    </xf>
    <xf numFmtId="0" fontId="0" fillId="5" borderId="0" xfId="0" applyFill="1" applyAlignment="1">
      <alignment horizontal="center"/>
    </xf>
    <xf numFmtId="165" fontId="0" fillId="6" borderId="5" xfId="0" applyNumberFormat="1" applyFill="1" applyBorder="1" applyAlignment="1">
      <alignment horizontal="center"/>
    </xf>
    <xf numFmtId="1" fontId="0" fillId="6" borderId="2" xfId="0" applyNumberFormat="1" applyFill="1" applyBorder="1" applyAlignment="1">
      <alignment horizontal="center"/>
    </xf>
    <xf numFmtId="0" fontId="0" fillId="6" borderId="2" xfId="0" applyFill="1" applyBorder="1" applyAlignment="1">
      <alignment horizontal="center"/>
    </xf>
    <xf numFmtId="1" fontId="0" fillId="6" borderId="2" xfId="0" applyNumberFormat="1" applyFill="1" applyBorder="1" applyAlignment="1">
      <alignment horizontal="center"/>
    </xf>
    <xf numFmtId="1" fontId="0" fillId="6" borderId="9" xfId="0" applyNumberFormat="1" applyFill="1" applyBorder="1" applyAlignment="1">
      <alignment horizontal="center"/>
    </xf>
    <xf numFmtId="0" fontId="0" fillId="6" borderId="6" xfId="0" applyFill="1" applyBorder="1" applyAlignment="1">
      <alignment horizontal="center"/>
    </xf>
    <xf numFmtId="0" fontId="81" fillId="0" borderId="0" xfId="23" applyFont="1" applyAlignment="1">
      <alignment horizontal="center" vertical="center" wrapText="1"/>
    </xf>
    <xf numFmtId="0" fontId="81" fillId="0" borderId="0" xfId="23" applyFont="1" applyAlignment="1">
      <alignment horizontal="left" vertical="center" wrapText="1"/>
    </xf>
    <xf numFmtId="1" fontId="81" fillId="0" borderId="0" xfId="23" applyNumberFormat="1" applyFont="1" applyFill="1" applyAlignment="1">
      <alignment horizontal="center" vertical="center" wrapText="1"/>
    </xf>
    <xf numFmtId="1" fontId="81" fillId="0" borderId="0" xfId="23" applyNumberFormat="1" applyFont="1" applyAlignment="1">
      <alignment horizontal="center" vertical="center" wrapText="1"/>
    </xf>
    <xf numFmtId="0" fontId="81" fillId="0" borderId="0" xfId="23" applyFont="1" applyFill="1" applyAlignment="1">
      <alignment horizontal="center" vertical="center" wrapText="1"/>
    </xf>
    <xf numFmtId="0" fontId="81" fillId="0" borderId="0" xfId="23" applyFont="1"/>
    <xf numFmtId="0" fontId="81" fillId="0" borderId="0" xfId="23" applyFont="1" applyAlignment="1">
      <alignment wrapText="1"/>
    </xf>
    <xf numFmtId="0" fontId="5" fillId="7" borderId="0" xfId="23" applyFont="1" applyFill="1" applyAlignment="1"/>
    <xf numFmtId="0" fontId="82" fillId="7" borderId="0" xfId="0" applyFont="1" applyFill="1"/>
    <xf numFmtId="0" fontId="82" fillId="0" borderId="0" xfId="0" applyFont="1" applyFill="1"/>
    <xf numFmtId="2" fontId="5" fillId="7" borderId="0" xfId="23" applyNumberFormat="1" applyFont="1" applyFill="1" applyAlignment="1">
      <alignment horizontal="center"/>
    </xf>
    <xf numFmtId="1" fontId="5" fillId="7" borderId="0" xfId="23" applyNumberFormat="1" applyFont="1" applyFill="1" applyAlignment="1">
      <alignment horizontal="center"/>
    </xf>
    <xf numFmtId="0" fontId="5" fillId="7" borderId="0" xfId="23" applyFont="1" applyFill="1" applyAlignment="1">
      <alignment horizontal="center"/>
    </xf>
    <xf numFmtId="0" fontId="82" fillId="7" borderId="0" xfId="0" applyFont="1" applyFill="1" applyAlignment="1">
      <alignment horizontal="left"/>
    </xf>
    <xf numFmtId="1" fontId="84" fillId="7" borderId="0" xfId="23" applyNumberFormat="1" applyFont="1" applyFill="1" applyAlignment="1">
      <alignment horizontal="left"/>
    </xf>
    <xf numFmtId="1" fontId="85" fillId="0" borderId="0" xfId="23" applyNumberFormat="1" applyFont="1" applyAlignment="1">
      <alignment horizontal="left"/>
    </xf>
    <xf numFmtId="1" fontId="86" fillId="0" borderId="0" xfId="23" applyNumberFormat="1" applyFont="1" applyAlignment="1">
      <alignment horizontal="left"/>
    </xf>
    <xf numFmtId="0" fontId="87" fillId="0" borderId="0" xfId="23" applyFont="1" applyAlignment="1">
      <alignment horizontal="left"/>
    </xf>
    <xf numFmtId="1" fontId="88" fillId="0" borderId="0" xfId="23" applyNumberFormat="1" applyFont="1" applyAlignment="1">
      <alignment horizontal="center" vertical="center" wrapText="1"/>
    </xf>
    <xf numFmtId="1" fontId="87" fillId="0" borderId="0" xfId="23" applyNumberFormat="1" applyFont="1" applyAlignment="1">
      <alignment horizontal="center" vertical="center" wrapText="1"/>
    </xf>
    <xf numFmtId="0" fontId="87" fillId="7" borderId="0" xfId="23" applyFont="1" applyFill="1" applyAlignment="1">
      <alignment horizontal="left"/>
    </xf>
    <xf numFmtId="0" fontId="89" fillId="0" borderId="0" xfId="0" applyFont="1" applyFill="1" applyAlignment="1">
      <alignment horizontal="left"/>
    </xf>
    <xf numFmtId="0" fontId="89" fillId="7" borderId="0" xfId="0" applyFont="1" applyFill="1" applyAlignment="1">
      <alignment horizontal="left"/>
    </xf>
    <xf numFmtId="0" fontId="89" fillId="12" borderId="0" xfId="0" applyFont="1" applyFill="1" applyAlignment="1">
      <alignment horizontal="left"/>
    </xf>
    <xf numFmtId="0" fontId="87" fillId="0" borderId="0" xfId="23" applyFont="1" applyFill="1" applyAlignment="1">
      <alignment horizontal="left"/>
    </xf>
    <xf numFmtId="0" fontId="87" fillId="0" borderId="0" xfId="23" applyFont="1" applyFill="1" applyBorder="1"/>
    <xf numFmtId="0" fontId="87" fillId="0" borderId="0" xfId="23" applyFont="1" applyBorder="1"/>
    <xf numFmtId="0" fontId="15" fillId="0" borderId="0" xfId="0" applyFont="1" applyFill="1" applyBorder="1" applyAlignment="1">
      <alignment horizontal="left"/>
    </xf>
    <xf numFmtId="0" fontId="87" fillId="7" borderId="0" xfId="23" applyFont="1" applyFill="1"/>
    <xf numFmtId="0" fontId="87" fillId="7" borderId="0" xfId="23" applyFont="1" applyFill="1" applyBorder="1"/>
    <xf numFmtId="0" fontId="89" fillId="0" borderId="0" xfId="0" applyFont="1" applyFill="1" applyBorder="1" applyAlignment="1">
      <alignment horizontal="left"/>
    </xf>
    <xf numFmtId="166" fontId="87" fillId="7" borderId="0" xfId="23" applyNumberFormat="1" applyFont="1" applyFill="1" applyAlignment="1">
      <alignment horizontal="center"/>
    </xf>
    <xf numFmtId="0" fontId="87" fillId="7" borderId="0" xfId="23" applyFont="1" applyFill="1" applyAlignment="1">
      <alignment horizontal="center"/>
    </xf>
    <xf numFmtId="0" fontId="90" fillId="7" borderId="0" xfId="23" applyFont="1" applyFill="1"/>
    <xf numFmtId="0" fontId="91" fillId="7" borderId="0" xfId="23" applyFont="1" applyFill="1"/>
    <xf numFmtId="0" fontId="90" fillId="7" borderId="0" xfId="23" applyFont="1" applyFill="1" applyAlignment="1">
      <alignment horizontal="left"/>
    </xf>
    <xf numFmtId="0" fontId="90" fillId="7" borderId="0" xfId="23" applyFont="1" applyFill="1" applyAlignment="1"/>
    <xf numFmtId="2" fontId="90" fillId="7" borderId="0" xfId="23" applyNumberFormat="1" applyFont="1" applyFill="1" applyAlignment="1">
      <alignment horizontal="center"/>
    </xf>
    <xf numFmtId="1" fontId="90" fillId="7" borderId="0" xfId="23" applyNumberFormat="1" applyFont="1" applyFill="1" applyAlignment="1">
      <alignment horizontal="center"/>
    </xf>
    <xf numFmtId="0" fontId="91" fillId="7" borderId="0" xfId="23" applyFont="1" applyFill="1" applyAlignment="1">
      <alignment horizontal="left"/>
    </xf>
    <xf numFmtId="0" fontId="90" fillId="7" borderId="0" xfId="23" applyFont="1" applyFill="1" applyAlignment="1">
      <alignment horizontal="center"/>
    </xf>
    <xf numFmtId="0" fontId="90" fillId="0" borderId="0" xfId="23" applyFont="1" applyAlignment="1">
      <alignment horizontal="left"/>
    </xf>
    <xf numFmtId="0" fontId="90" fillId="0" borderId="0" xfId="23" applyFont="1" applyAlignment="1">
      <alignment horizontal="center"/>
    </xf>
    <xf numFmtId="0" fontId="90" fillId="0" borderId="0" xfId="23" applyFont="1" applyAlignment="1"/>
    <xf numFmtId="0" fontId="90" fillId="0" borderId="0" xfId="23" applyFont="1"/>
    <xf numFmtId="0" fontId="90" fillId="0" borderId="0" xfId="23" applyFont="1" applyFill="1" applyAlignment="1">
      <alignment horizontal="left"/>
    </xf>
    <xf numFmtId="0" fontId="90" fillId="0" borderId="0" xfId="23" applyFont="1" applyFill="1" applyAlignment="1">
      <alignment horizontal="center"/>
    </xf>
    <xf numFmtId="0" fontId="90" fillId="0" borderId="0" xfId="23" applyFont="1" applyFill="1" applyAlignment="1"/>
    <xf numFmtId="0" fontId="91" fillId="7" borderId="0" xfId="23" applyFont="1" applyFill="1" applyAlignment="1"/>
    <xf numFmtId="0" fontId="88" fillId="0" borderId="0" xfId="23" applyFont="1" applyAlignment="1">
      <alignment horizontal="center" vertical="center" wrapText="1"/>
    </xf>
    <xf numFmtId="0" fontId="87" fillId="0" borderId="0" xfId="23" applyFont="1" applyAlignment="1">
      <alignment horizontal="center" vertical="center" wrapText="1"/>
    </xf>
    <xf numFmtId="0" fontId="87" fillId="0" borderId="0" xfId="23" applyFont="1" applyFill="1" applyBorder="1" applyAlignment="1">
      <alignment horizontal="left"/>
    </xf>
    <xf numFmtId="0" fontId="87" fillId="0" borderId="0" xfId="23" applyFont="1" applyBorder="1" applyAlignment="1">
      <alignment horizontal="left"/>
    </xf>
    <xf numFmtId="0" fontId="87" fillId="0" borderId="0" xfId="23" applyFont="1" applyFill="1"/>
    <xf numFmtId="0" fontId="82" fillId="0" borderId="0" xfId="0" applyFont="1" applyFill="1" applyAlignment="1"/>
    <xf numFmtId="2" fontId="90" fillId="0" borderId="0" xfId="23" applyNumberFormat="1" applyFont="1" applyFill="1" applyAlignment="1">
      <alignment horizontal="center"/>
    </xf>
    <xf numFmtId="1" fontId="90" fillId="0" borderId="0" xfId="23" applyNumberFormat="1" applyFont="1" applyFill="1" applyAlignment="1">
      <alignment horizontal="center"/>
    </xf>
    <xf numFmtId="0" fontId="91" fillId="0" borderId="0" xfId="23" applyFont="1" applyFill="1" applyAlignment="1">
      <alignment horizontal="left"/>
    </xf>
    <xf numFmtId="0" fontId="90" fillId="0" borderId="0" xfId="23" applyFont="1" applyFill="1"/>
    <xf numFmtId="0" fontId="87" fillId="0" borderId="0" xfId="23" applyFont="1" applyFill="1" applyAlignment="1">
      <alignment horizontal="center"/>
    </xf>
    <xf numFmtId="0" fontId="13" fillId="0" borderId="0" xfId="0" applyFont="1" applyFill="1"/>
    <xf numFmtId="0" fontId="36" fillId="0" borderId="0" xfId="0" applyFont="1" applyFill="1" applyAlignment="1">
      <alignment horizontal="left" vertical="center" wrapText="1"/>
    </xf>
    <xf numFmtId="0" fontId="12" fillId="0" borderId="23" xfId="0" applyFont="1" applyFill="1" applyBorder="1" applyAlignment="1">
      <alignment horizontal="left" vertical="center" wrapText="1"/>
    </xf>
    <xf numFmtId="0" fontId="36" fillId="0" borderId="23" xfId="0" applyFont="1" applyFill="1" applyBorder="1" applyAlignment="1">
      <alignment horizontal="center" vertical="center" wrapText="1"/>
    </xf>
    <xf numFmtId="2" fontId="12" fillId="0" borderId="0" xfId="0" applyNumberFormat="1" applyFont="1" applyFill="1" applyAlignment="1">
      <alignment horizontal="center" vertical="center" wrapText="1"/>
    </xf>
    <xf numFmtId="1" fontId="12" fillId="0" borderId="0" xfId="0" applyNumberFormat="1" applyFont="1" applyFill="1" applyAlignment="1">
      <alignment horizontal="center" vertical="center" wrapText="1"/>
    </xf>
    <xf numFmtId="0" fontId="19" fillId="0" borderId="0" xfId="0" applyFont="1" applyFill="1" applyAlignment="1">
      <alignment horizontal="center" vertical="center" wrapText="1"/>
    </xf>
    <xf numFmtId="0" fontId="49" fillId="0" borderId="25" xfId="0" applyFont="1" applyFill="1" applyBorder="1"/>
    <xf numFmtId="0" fontId="4" fillId="0" borderId="0" xfId="0" applyFont="1" applyFill="1" applyBorder="1" applyAlignment="1">
      <alignment horizontal="center"/>
    </xf>
    <xf numFmtId="0" fontId="43" fillId="0" borderId="25" xfId="0" applyFont="1" applyFill="1" applyBorder="1"/>
    <xf numFmtId="1" fontId="18" fillId="0" borderId="0" xfId="1" applyNumberFormat="1" applyFont="1" applyFill="1" applyAlignment="1">
      <alignment horizontal="center"/>
    </xf>
    <xf numFmtId="1" fontId="40" fillId="0" borderId="0" xfId="0" applyNumberFormat="1" applyFont="1" applyFill="1" applyAlignment="1">
      <alignment horizontal="center"/>
    </xf>
    <xf numFmtId="2" fontId="4" fillId="0" borderId="0" xfId="0" applyNumberFormat="1" applyFont="1" applyFill="1" applyBorder="1" applyAlignment="1">
      <alignment horizontal="center"/>
    </xf>
    <xf numFmtId="0" fontId="35" fillId="0" borderId="23" xfId="0" applyFont="1" applyFill="1" applyBorder="1" applyAlignment="1">
      <alignment horizontal="center" vertical="center" wrapText="1"/>
    </xf>
    <xf numFmtId="0" fontId="77" fillId="0" borderId="25" xfId="0" applyFont="1" applyFill="1" applyBorder="1"/>
    <xf numFmtId="0" fontId="26" fillId="0" borderId="23" xfId="0" applyFont="1" applyFill="1" applyBorder="1" applyAlignment="1">
      <alignment horizontal="center" vertical="center" wrapText="1"/>
    </xf>
    <xf numFmtId="1" fontId="0" fillId="0" borderId="0" xfId="0" applyNumberFormat="1" applyFont="1" applyFill="1" applyAlignment="1">
      <alignment horizontal="center" vertical="center" wrapText="1"/>
    </xf>
    <xf numFmtId="1" fontId="17" fillId="0" borderId="0" xfId="0" applyNumberFormat="1" applyFont="1" applyFill="1" applyAlignment="1">
      <alignment horizontal="center" vertical="center" wrapText="1"/>
    </xf>
    <xf numFmtId="0" fontId="44" fillId="0" borderId="0" xfId="0" applyFont="1" applyFill="1" applyAlignment="1">
      <alignment horizontal="left" vertical="center" wrapText="1"/>
    </xf>
    <xf numFmtId="0" fontId="29" fillId="0" borderId="0" xfId="0" applyFont="1" applyFill="1" applyAlignment="1">
      <alignment horizontal="left" vertical="center" wrapText="1"/>
    </xf>
    <xf numFmtId="0" fontId="26" fillId="0" borderId="23" xfId="0" applyFont="1" applyFill="1" applyBorder="1" applyAlignment="1">
      <alignment horizontal="left" vertical="center"/>
    </xf>
    <xf numFmtId="1" fontId="0" fillId="0" borderId="0" xfId="0" applyNumberFormat="1" applyFill="1" applyAlignment="1">
      <alignment horizontal="center" vertical="center" wrapText="1"/>
    </xf>
    <xf numFmtId="2" fontId="18" fillId="0" borderId="0" xfId="0" applyNumberFormat="1" applyFont="1" applyFill="1" applyAlignment="1">
      <alignment horizontal="center"/>
    </xf>
    <xf numFmtId="0" fontId="38" fillId="0" borderId="25" xfId="0" applyFont="1" applyFill="1" applyBorder="1"/>
    <xf numFmtId="0" fontId="26" fillId="0" borderId="25" xfId="0" applyFont="1" applyFill="1" applyBorder="1" applyAlignment="1">
      <alignment horizontal="left"/>
    </xf>
    <xf numFmtId="0" fontId="18" fillId="0" borderId="0" xfId="0" applyFont="1" applyFill="1" applyAlignment="1">
      <alignment horizontal="center" vertical="center"/>
    </xf>
    <xf numFmtId="2" fontId="0" fillId="0" borderId="0" xfId="0" applyNumberFormat="1" applyFont="1" applyFill="1" applyAlignment="1">
      <alignment horizontal="center"/>
    </xf>
    <xf numFmtId="0" fontId="26" fillId="0" borderId="25" xfId="0" applyFont="1" applyFill="1" applyBorder="1"/>
    <xf numFmtId="0" fontId="61" fillId="0" borderId="0" xfId="0" applyFont="1" applyFill="1" applyAlignment="1">
      <alignment horizontal="center"/>
    </xf>
    <xf numFmtId="0" fontId="29" fillId="0" borderId="25" xfId="0" applyFont="1" applyFill="1" applyBorder="1"/>
    <xf numFmtId="0" fontId="44" fillId="0" borderId="25" xfId="1" applyFont="1" applyFill="1" applyBorder="1"/>
    <xf numFmtId="0" fontId="26" fillId="0" borderId="25" xfId="10" applyFont="1" applyFill="1" applyBorder="1"/>
    <xf numFmtId="0" fontId="56" fillId="0" borderId="23" xfId="0" applyFont="1" applyFill="1" applyBorder="1"/>
    <xf numFmtId="0" fontId="50" fillId="0" borderId="0" xfId="0" applyFont="1" applyFill="1" applyAlignment="1">
      <alignment horizontal="center"/>
    </xf>
    <xf numFmtId="1" fontId="52" fillId="0" borderId="0" xfId="0" applyNumberFormat="1" applyFont="1" applyFill="1" applyAlignment="1">
      <alignment horizontal="center"/>
    </xf>
    <xf numFmtId="2" fontId="50" fillId="0" borderId="0" xfId="0" applyNumberFormat="1" applyFont="1" applyFill="1" applyAlignment="1">
      <alignment horizontal="center"/>
    </xf>
    <xf numFmtId="1" fontId="61" fillId="0" borderId="0" xfId="26" applyNumberFormat="1" applyFont="1" applyFill="1" applyAlignment="1">
      <alignment horizontal="center"/>
    </xf>
    <xf numFmtId="0" fontId="38" fillId="0" borderId="0" xfId="0" applyFont="1" applyFill="1"/>
    <xf numFmtId="0" fontId="55" fillId="0" borderId="23" xfId="0" applyFont="1" applyFill="1" applyBorder="1"/>
    <xf numFmtId="1" fontId="50" fillId="0" borderId="0" xfId="0" applyNumberFormat="1" applyFont="1" applyFill="1" applyAlignment="1">
      <alignment horizontal="center"/>
    </xf>
    <xf numFmtId="0" fontId="3" fillId="0" borderId="0" xfId="2" applyFill="1" applyBorder="1" applyAlignment="1">
      <alignment horizontal="center"/>
    </xf>
    <xf numFmtId="1" fontId="17" fillId="0" borderId="0" xfId="2" applyNumberFormat="1" applyFont="1" applyFill="1" applyAlignment="1">
      <alignment horizontal="center"/>
    </xf>
    <xf numFmtId="1" fontId="4" fillId="0" borderId="0" xfId="0" applyNumberFormat="1" applyFont="1" applyFill="1" applyAlignment="1">
      <alignment horizontal="center"/>
    </xf>
    <xf numFmtId="1" fontId="0" fillId="0" borderId="0" xfId="2" applyNumberFormat="1" applyFont="1" applyFill="1" applyAlignment="1">
      <alignment horizontal="center"/>
    </xf>
    <xf numFmtId="0" fontId="18" fillId="0" borderId="0" xfId="0" applyNumberFormat="1" applyFont="1" applyFill="1" applyAlignment="1">
      <alignment horizontal="center" vertical="center"/>
    </xf>
    <xf numFmtId="0" fontId="18" fillId="0" borderId="0" xfId="0" applyFont="1" applyFill="1" applyBorder="1" applyAlignment="1" applyProtection="1">
      <alignment horizontal="center" vertical="center" wrapText="1"/>
    </xf>
    <xf numFmtId="0" fontId="53" fillId="0" borderId="0" xfId="0" applyFont="1" applyFill="1" applyAlignment="1">
      <alignment horizontal="center"/>
    </xf>
    <xf numFmtId="1" fontId="54" fillId="0" borderId="0" xfId="0" applyNumberFormat="1" applyFont="1" applyFill="1" applyAlignment="1">
      <alignment horizontal="center"/>
    </xf>
    <xf numFmtId="1" fontId="53" fillId="0" borderId="0" xfId="0" applyNumberFormat="1" applyFont="1" applyFill="1" applyBorder="1" applyAlignment="1">
      <alignment horizontal="center"/>
    </xf>
    <xf numFmtId="0" fontId="26" fillId="0" borderId="0" xfId="0" applyFont="1" applyFill="1" applyAlignment="1">
      <alignment horizontal="left" vertical="center" wrapText="1"/>
    </xf>
    <xf numFmtId="1" fontId="0" fillId="0" borderId="0" xfId="0" applyNumberFormat="1" applyFont="1" applyFill="1" applyAlignment="1">
      <alignment horizontal="center" wrapText="1"/>
    </xf>
    <xf numFmtId="0" fontId="26" fillId="0" borderId="23" xfId="0" applyFont="1" applyFill="1" applyBorder="1" applyAlignment="1">
      <alignment horizontal="left" vertical="center" wrapText="1"/>
    </xf>
    <xf numFmtId="1" fontId="0" fillId="0" borderId="0" xfId="0" applyNumberFormat="1" applyFont="1" applyFill="1" applyBorder="1" applyAlignment="1">
      <alignment horizontal="center" vertical="center"/>
    </xf>
    <xf numFmtId="1" fontId="18" fillId="0" borderId="0" xfId="0" applyNumberFormat="1" applyFont="1" applyFill="1" applyBorder="1" applyAlignment="1">
      <alignment horizontal="center" vertical="center"/>
    </xf>
    <xf numFmtId="0" fontId="68" fillId="0" borderId="0" xfId="0" applyFont="1" applyFill="1" applyAlignment="1">
      <alignment horizontal="center"/>
    </xf>
    <xf numFmtId="0" fontId="67" fillId="0" borderId="0" xfId="0" applyFont="1" applyFill="1" applyAlignment="1">
      <alignment horizontal="center"/>
    </xf>
    <xf numFmtId="1" fontId="68" fillId="0" borderId="0" xfId="0" applyNumberFormat="1" applyFont="1" applyFill="1" applyAlignment="1">
      <alignment horizontal="center"/>
    </xf>
    <xf numFmtId="0" fontId="18" fillId="0" borderId="0" xfId="0" applyNumberFormat="1" applyFont="1" applyFill="1" applyBorder="1" applyAlignment="1">
      <alignment horizontal="center"/>
    </xf>
    <xf numFmtId="4" fontId="18" fillId="0" borderId="0" xfId="0" applyNumberFormat="1" applyFont="1" applyFill="1" applyBorder="1" applyAlignment="1">
      <alignment horizontal="center"/>
    </xf>
    <xf numFmtId="0" fontId="47" fillId="0" borderId="0" xfId="0" applyFont="1" applyFill="1" applyAlignment="1">
      <alignment horizontal="center"/>
    </xf>
    <xf numFmtId="0" fontId="26" fillId="0" borderId="0" xfId="0" applyFont="1" applyFill="1" applyBorder="1" applyAlignment="1">
      <alignment horizontal="left" vertical="center"/>
    </xf>
    <xf numFmtId="0" fontId="29" fillId="0" borderId="0" xfId="0" applyFont="1" applyFill="1" applyBorder="1" applyAlignment="1">
      <alignment horizontal="center" vertical="center"/>
    </xf>
    <xf numFmtId="0" fontId="17" fillId="0" borderId="0" xfId="0" applyFont="1" applyFill="1" applyAlignment="1">
      <alignment horizontal="center" vertical="center"/>
    </xf>
    <xf numFmtId="0" fontId="41" fillId="0" borderId="0" xfId="2" applyFont="1" applyFill="1" applyBorder="1" applyAlignment="1">
      <alignment horizontal="center"/>
    </xf>
    <xf numFmtId="1" fontId="12" fillId="0" borderId="0" xfId="0" applyNumberFormat="1" applyFont="1" applyFill="1" applyBorder="1" applyAlignment="1">
      <alignment horizontal="center"/>
    </xf>
    <xf numFmtId="0" fontId="18" fillId="0" borderId="0" xfId="0" applyFont="1" applyFill="1" applyBorder="1" applyAlignment="1">
      <alignment horizontal="center" vertical="center"/>
    </xf>
    <xf numFmtId="0" fontId="61" fillId="0" borderId="0" xfId="0" applyFont="1" applyFill="1" applyBorder="1" applyAlignment="1">
      <alignment horizontal="center" vertical="center"/>
    </xf>
    <xf numFmtId="0" fontId="29" fillId="0" borderId="23" xfId="0" applyFont="1" applyFill="1" applyBorder="1" applyAlignment="1">
      <alignment horizontal="left" vertical="center"/>
    </xf>
    <xf numFmtId="0" fontId="17" fillId="0" borderId="0" xfId="0" applyFont="1" applyFill="1" applyAlignment="1">
      <alignment horizontal="center" vertical="center" wrapText="1"/>
    </xf>
    <xf numFmtId="1" fontId="16" fillId="0" borderId="0" xfId="0" applyNumberFormat="1" applyFont="1" applyFill="1" applyAlignment="1">
      <alignment horizontal="center"/>
    </xf>
    <xf numFmtId="0" fontId="24" fillId="0" borderId="0" xfId="0" applyFont="1" applyFill="1" applyBorder="1" applyAlignment="1">
      <alignment horizontal="center"/>
    </xf>
    <xf numFmtId="2" fontId="24" fillId="0" borderId="0" xfId="0" applyNumberFormat="1" applyFont="1" applyFill="1" applyBorder="1" applyAlignment="1">
      <alignment horizontal="center"/>
    </xf>
    <xf numFmtId="0" fontId="24" fillId="0" borderId="0" xfId="0" applyNumberFormat="1" applyFont="1" applyFill="1" applyBorder="1" applyAlignment="1">
      <alignment horizontal="center"/>
    </xf>
    <xf numFmtId="0" fontId="26" fillId="0" borderId="0" xfId="0" applyFont="1" applyFill="1" applyBorder="1" applyAlignment="1">
      <alignment vertical="center"/>
    </xf>
    <xf numFmtId="1" fontId="4" fillId="0" borderId="0" xfId="0" applyNumberFormat="1" applyFont="1" applyFill="1" applyBorder="1" applyAlignment="1">
      <alignment horizontal="center"/>
    </xf>
    <xf numFmtId="2" fontId="18" fillId="0" borderId="0" xfId="23" applyNumberFormat="1" applyFont="1" applyFill="1" applyAlignment="1">
      <alignment horizontal="center"/>
    </xf>
    <xf numFmtId="0" fontId="23" fillId="0" borderId="0" xfId="0" applyFont="1" applyFill="1" applyBorder="1" applyAlignment="1">
      <alignment horizontal="center"/>
    </xf>
    <xf numFmtId="0" fontId="2" fillId="0" borderId="0" xfId="1" applyFill="1" applyBorder="1"/>
    <xf numFmtId="0" fontId="39" fillId="0" borderId="0" xfId="1" applyFont="1" applyFill="1" applyBorder="1"/>
    <xf numFmtId="0" fontId="45" fillId="0" borderId="20" xfId="0" applyFont="1" applyFill="1" applyBorder="1"/>
    <xf numFmtId="4" fontId="0" fillId="0" borderId="0" xfId="0" applyNumberFormat="1" applyFont="1" applyFill="1" applyAlignment="1">
      <alignment horizontal="center"/>
    </xf>
    <xf numFmtId="4" fontId="0" fillId="0" borderId="0" xfId="0" applyNumberFormat="1" applyFont="1" applyFill="1" applyBorder="1" applyAlignment="1">
      <alignment horizontal="center"/>
    </xf>
    <xf numFmtId="0" fontId="0" fillId="0" borderId="0" xfId="0" applyFont="1" applyFill="1" applyBorder="1" applyAlignment="1"/>
    <xf numFmtId="0" fontId="12" fillId="0" borderId="0" xfId="0" applyFont="1" applyFill="1" applyAlignment="1">
      <alignment horizontal="left" vertical="center" wrapText="1"/>
    </xf>
    <xf numFmtId="0" fontId="19" fillId="0" borderId="0" xfId="0" applyFont="1" applyFill="1" applyAlignment="1">
      <alignment horizontal="left" vertical="center" wrapText="1"/>
    </xf>
    <xf numFmtId="0" fontId="12" fillId="0" borderId="0" xfId="0" applyFont="1" applyFill="1" applyAlignment="1">
      <alignment horizontal="center" vertical="center" wrapText="1"/>
    </xf>
    <xf numFmtId="0" fontId="47" fillId="0" borderId="10" xfId="0" applyFont="1" applyFill="1" applyBorder="1" applyAlignment="1">
      <alignment vertical="top"/>
    </xf>
    <xf numFmtId="49" fontId="0" fillId="0" borderId="0" xfId="0" applyNumberFormat="1" applyFill="1" applyAlignment="1">
      <alignment horizontal="left"/>
    </xf>
    <xf numFmtId="49" fontId="0" fillId="0" borderId="0" xfId="0" applyNumberFormat="1" applyFill="1" applyAlignment="1">
      <alignment horizontal="center"/>
    </xf>
    <xf numFmtId="0" fontId="0" fillId="0" borderId="0" xfId="0" applyFont="1" applyFill="1" applyAlignment="1">
      <alignment horizontal="center" vertical="center" wrapText="1"/>
    </xf>
    <xf numFmtId="0" fontId="0" fillId="0" borderId="0" xfId="0" applyFill="1" applyAlignment="1">
      <alignment horizontal="center" vertical="center" wrapText="1"/>
    </xf>
    <xf numFmtId="0" fontId="44" fillId="0" borderId="0" xfId="0" applyFont="1" applyFill="1"/>
    <xf numFmtId="0" fontId="50" fillId="0" borderId="0" xfId="0" applyFont="1" applyFill="1" applyAlignment="1">
      <alignment horizontal="left"/>
    </xf>
    <xf numFmtId="0" fontId="55" fillId="0" borderId="0" xfId="0" applyFont="1" applyFill="1"/>
    <xf numFmtId="0" fontId="45" fillId="0" borderId="0" xfId="0" applyFont="1" applyFill="1"/>
    <xf numFmtId="0" fontId="56" fillId="0" borderId="0" xfId="0" applyFont="1" applyFill="1"/>
    <xf numFmtId="0" fontId="17" fillId="0" borderId="0" xfId="0" applyFont="1" applyFill="1" applyAlignment="1">
      <alignment horizontal="left" vertical="center" wrapText="1"/>
    </xf>
    <xf numFmtId="0" fontId="50" fillId="0" borderId="0" xfId="0" applyFont="1" applyFill="1"/>
    <xf numFmtId="1" fontId="29" fillId="0" borderId="0" xfId="0" applyNumberFormat="1" applyFont="1" applyFill="1" applyAlignment="1">
      <alignment horizontal="left"/>
    </xf>
    <xf numFmtId="0" fontId="0" fillId="0" borderId="0" xfId="0" applyFont="1" applyFill="1" applyBorder="1" applyAlignment="1">
      <alignment horizontal="left"/>
    </xf>
    <xf numFmtId="0" fontId="59" fillId="0" borderId="0" xfId="0" applyFont="1" applyFill="1" applyBorder="1" applyAlignment="1">
      <alignment horizontal="right"/>
    </xf>
    <xf numFmtId="0" fontId="47" fillId="0" borderId="0" xfId="0" applyFont="1" applyFill="1" applyAlignment="1">
      <alignment horizontal="left"/>
    </xf>
    <xf numFmtId="0" fontId="44" fillId="0" borderId="0" xfId="31" applyFont="1" applyFill="1" applyBorder="1"/>
    <xf numFmtId="0" fontId="40" fillId="0" borderId="0" xfId="0" applyFont="1" applyFill="1" applyBorder="1" applyAlignment="1" applyProtection="1">
      <alignment horizontal="left" vertical="center" wrapText="1"/>
    </xf>
    <xf numFmtId="0" fontId="18" fillId="0" borderId="0" xfId="0" applyFont="1" applyFill="1" applyBorder="1" applyAlignment="1">
      <alignment horizontal="center" vertical="center" wrapText="1"/>
    </xf>
    <xf numFmtId="0" fontId="38" fillId="0" borderId="0" xfId="0" applyFont="1" applyFill="1" applyBorder="1" applyAlignment="1" applyProtection="1">
      <alignment horizontal="left" vertical="center"/>
    </xf>
    <xf numFmtId="0" fontId="0" fillId="0" borderId="0" xfId="0" applyFont="1" applyFill="1" applyAlignment="1">
      <alignment horizontal="left" vertical="center" wrapText="1"/>
    </xf>
    <xf numFmtId="0" fontId="17" fillId="0" borderId="0" xfId="0" applyFont="1" applyFill="1" applyBorder="1" applyAlignment="1">
      <alignment horizontal="center" vertical="center" wrapText="1"/>
    </xf>
    <xf numFmtId="0" fontId="29" fillId="0" borderId="0" xfId="0" applyFont="1" applyFill="1" applyBorder="1" applyAlignment="1">
      <alignment vertical="center"/>
    </xf>
    <xf numFmtId="0" fontId="0" fillId="0" borderId="0" xfId="0" applyFont="1" applyFill="1" applyAlignment="1">
      <alignment horizontal="center" wrapText="1"/>
    </xf>
    <xf numFmtId="0" fontId="43" fillId="0" borderId="0" xfId="0" applyFont="1" applyFill="1" applyAlignment="1">
      <alignment horizontal="left"/>
    </xf>
    <xf numFmtId="0" fontId="15" fillId="0" borderId="0" xfId="0" applyFont="1" applyFill="1" applyAlignment="1">
      <alignment horizontal="left"/>
    </xf>
    <xf numFmtId="0" fontId="18" fillId="0" borderId="0" xfId="0" applyFont="1" applyFill="1" applyBorder="1" applyAlignment="1"/>
    <xf numFmtId="0" fontId="44" fillId="0" borderId="0" xfId="0" applyFont="1" applyFill="1" applyBorder="1" applyAlignment="1"/>
    <xf numFmtId="0" fontId="0" fillId="0" borderId="0" xfId="0" applyFill="1" applyAlignment="1">
      <alignment horizontal="center" vertical="center"/>
    </xf>
    <xf numFmtId="0" fontId="44" fillId="0" borderId="0" xfId="0" applyFont="1" applyFill="1" applyBorder="1" applyAlignment="1">
      <alignment vertical="center"/>
    </xf>
    <xf numFmtId="0" fontId="24" fillId="0" borderId="0" xfId="0" applyFont="1" applyFill="1" applyBorder="1" applyAlignment="1"/>
    <xf numFmtId="2" fontId="26" fillId="0" borderId="0" xfId="0" applyNumberFormat="1" applyFont="1" applyFill="1" applyAlignment="1">
      <alignment horizontal="left"/>
    </xf>
    <xf numFmtId="0" fontId="29" fillId="0" borderId="0" xfId="0" applyFont="1" applyFill="1" applyBorder="1" applyAlignment="1"/>
    <xf numFmtId="1" fontId="0" fillId="0" borderId="0" xfId="0" applyNumberFormat="1" applyFill="1" applyAlignment="1">
      <alignment horizontal="left"/>
    </xf>
    <xf numFmtId="0" fontId="23" fillId="0" borderId="0" xfId="0" applyFont="1" applyFill="1" applyBorder="1" applyAlignment="1">
      <alignment horizontal="left"/>
    </xf>
    <xf numFmtId="0" fontId="65" fillId="0" borderId="0" xfId="0" applyFont="1" applyFill="1" applyBorder="1" applyAlignment="1">
      <alignment horizontal="left"/>
    </xf>
    <xf numFmtId="0" fontId="24" fillId="0" borderId="0" xfId="0" applyFont="1" applyFill="1" applyBorder="1" applyAlignment="1">
      <alignment horizontal="left"/>
    </xf>
    <xf numFmtId="0" fontId="4" fillId="0" borderId="0" xfId="0" applyFont="1" applyFill="1"/>
    <xf numFmtId="0" fontId="49" fillId="0" borderId="0" xfId="0" applyFont="1" applyFill="1" applyAlignment="1">
      <alignment horizontal="center"/>
    </xf>
    <xf numFmtId="1" fontId="0" fillId="0" borderId="0" xfId="0" applyNumberFormat="1" applyFont="1" applyFill="1" applyAlignment="1">
      <alignment horizontal="left"/>
    </xf>
    <xf numFmtId="0" fontId="49" fillId="0" borderId="0" xfId="0" applyFont="1" applyFill="1" applyAlignment="1">
      <alignment horizontal="center" readingOrder="1"/>
    </xf>
    <xf numFmtId="0" fontId="29" fillId="0" borderId="0" xfId="0" applyFont="1" applyFill="1" applyAlignment="1">
      <alignment horizontal="left" readingOrder="1"/>
    </xf>
    <xf numFmtId="0" fontId="4" fillId="0" borderId="0" xfId="0" applyFont="1" applyFill="1" applyAlignment="1">
      <alignment horizontal="left"/>
    </xf>
    <xf numFmtId="0" fontId="2" fillId="0" borderId="0" xfId="1" applyFill="1" applyBorder="1" applyAlignment="1">
      <alignment horizontal="left"/>
    </xf>
    <xf numFmtId="0" fontId="42" fillId="0" borderId="0" xfId="1" applyFont="1" applyFill="1" applyBorder="1" applyAlignment="1">
      <alignment horizontal="left"/>
    </xf>
    <xf numFmtId="0" fontId="64" fillId="0" borderId="0" xfId="0" applyFont="1" applyFill="1" applyAlignment="1">
      <alignment horizontal="left"/>
    </xf>
    <xf numFmtId="0" fontId="25" fillId="0" borderId="0" xfId="0" applyFont="1" applyFill="1" applyAlignment="1">
      <alignment horizontal="center"/>
    </xf>
    <xf numFmtId="0" fontId="49" fillId="0" borderId="0" xfId="0" applyFont="1" applyFill="1" applyBorder="1"/>
    <xf numFmtId="0" fontId="78" fillId="0" borderId="23" xfId="0" applyFont="1" applyFill="1" applyBorder="1" applyAlignment="1">
      <alignment horizontal="left" vertical="center" wrapText="1"/>
    </xf>
    <xf numFmtId="0" fontId="44" fillId="0" borderId="25" xfId="0" applyFont="1" applyFill="1" applyBorder="1" applyAlignment="1">
      <alignment horizontal="left" vertical="center" wrapText="1"/>
    </xf>
    <xf numFmtId="0" fontId="44" fillId="0" borderId="0" xfId="0" applyFont="1" applyFill="1" applyBorder="1" applyAlignment="1">
      <alignment horizontal="center"/>
    </xf>
    <xf numFmtId="0" fontId="44" fillId="0" borderId="25" xfId="0" applyFont="1" applyFill="1" applyBorder="1"/>
    <xf numFmtId="0" fontId="44" fillId="0" borderId="25" xfId="0" applyFont="1" applyFill="1" applyBorder="1" applyAlignment="1">
      <alignment horizontal="center"/>
    </xf>
    <xf numFmtId="0" fontId="72" fillId="0" borderId="23" xfId="0" applyFont="1" applyFill="1" applyBorder="1" applyAlignment="1">
      <alignment horizontal="left" vertical="center" wrapText="1"/>
    </xf>
    <xf numFmtId="1" fontId="44" fillId="0" borderId="23" xfId="0" applyNumberFormat="1" applyFont="1" applyFill="1" applyBorder="1" applyAlignment="1">
      <alignment horizontal="left"/>
    </xf>
    <xf numFmtId="0" fontId="44" fillId="0" borderId="20" xfId="0" applyFont="1" applyFill="1" applyBorder="1" applyAlignment="1">
      <alignment horizontal="left"/>
    </xf>
    <xf numFmtId="0" fontId="44" fillId="0" borderId="25" xfId="0" applyFont="1" applyFill="1" applyBorder="1" applyAlignment="1" applyProtection="1">
      <alignment horizontal="left" vertical="center" wrapText="1"/>
    </xf>
    <xf numFmtId="0" fontId="44" fillId="0" borderId="23" xfId="0" applyFont="1" applyFill="1" applyBorder="1" applyAlignment="1">
      <alignment horizontal="left" vertical="center" wrapText="1"/>
    </xf>
    <xf numFmtId="0" fontId="44" fillId="0" borderId="23" xfId="0" applyFont="1" applyFill="1" applyBorder="1" applyAlignment="1">
      <alignment horizontal="left" vertical="center"/>
    </xf>
    <xf numFmtId="0" fontId="44" fillId="0" borderId="23" xfId="0" applyFont="1" applyFill="1" applyBorder="1" applyAlignment="1"/>
    <xf numFmtId="0" fontId="44" fillId="0" borderId="25" xfId="0" applyFont="1" applyFill="1" applyBorder="1" applyAlignment="1">
      <alignment vertical="center"/>
    </xf>
    <xf numFmtId="0" fontId="44" fillId="0" borderId="0" xfId="1" applyFont="1" applyFill="1" applyBorder="1" applyAlignment="1">
      <alignment horizontal="left"/>
    </xf>
    <xf numFmtId="0" fontId="12" fillId="0" borderId="23" xfId="0" applyFont="1" applyFill="1" applyBorder="1" applyAlignment="1">
      <alignment horizontal="left" vertical="center"/>
    </xf>
    <xf numFmtId="0" fontId="12" fillId="0" borderId="23" xfId="0" applyFont="1" applyFill="1" applyBorder="1" applyAlignment="1">
      <alignment vertical="top"/>
    </xf>
    <xf numFmtId="0" fontId="12" fillId="0" borderId="23" xfId="0" applyFont="1" applyFill="1" applyBorder="1" applyAlignment="1">
      <alignment wrapText="1"/>
    </xf>
    <xf numFmtId="0" fontId="29" fillId="0" borderId="23" xfId="0" applyFont="1" applyFill="1" applyBorder="1" applyAlignment="1">
      <alignment wrapText="1"/>
    </xf>
    <xf numFmtId="0" fontId="0" fillId="4" borderId="21" xfId="0" applyFill="1" applyBorder="1" applyAlignment="1">
      <alignment vertical="center"/>
    </xf>
    <xf numFmtId="0" fontId="42" fillId="7" borderId="0" xfId="1" applyFont="1" applyFill="1"/>
    <xf numFmtId="0" fontId="37" fillId="7" borderId="0" xfId="1" applyFont="1" applyFill="1" applyBorder="1" applyAlignment="1">
      <alignment horizontal="left"/>
    </xf>
    <xf numFmtId="0" fontId="37" fillId="7" borderId="0" xfId="1" applyFont="1" applyFill="1" applyBorder="1" applyAlignment="1">
      <alignment horizontal="center"/>
    </xf>
    <xf numFmtId="0" fontId="78" fillId="0" borderId="0" xfId="0" applyFont="1" applyFill="1" applyAlignment="1">
      <alignment horizontal="center"/>
    </xf>
    <xf numFmtId="1" fontId="78" fillId="0" borderId="0" xfId="0" applyNumberFormat="1" applyFont="1" applyFill="1" applyAlignment="1">
      <alignment horizontal="center"/>
    </xf>
    <xf numFmtId="0" fontId="52" fillId="0" borderId="0" xfId="0" applyFont="1" applyFill="1" applyAlignment="1">
      <alignment horizontal="center"/>
    </xf>
    <xf numFmtId="0" fontId="94" fillId="7" borderId="0" xfId="1" applyFont="1" applyFill="1"/>
    <xf numFmtId="0" fontId="96" fillId="7" borderId="0" xfId="1" applyFont="1" applyFill="1" applyBorder="1"/>
    <xf numFmtId="0" fontId="94" fillId="7" borderId="0" xfId="1" applyFont="1" applyFill="1" applyBorder="1"/>
    <xf numFmtId="0" fontId="96" fillId="7" borderId="0" xfId="1" applyFont="1" applyFill="1" applyBorder="1" applyAlignment="1">
      <alignment horizontal="center"/>
    </xf>
    <xf numFmtId="0" fontId="96" fillId="7" borderId="0" xfId="1" applyFont="1" applyFill="1" applyBorder="1" applyAlignment="1">
      <alignment horizontal="left"/>
    </xf>
    <xf numFmtId="0" fontId="94" fillId="7" borderId="0" xfId="1" applyFont="1" applyFill="1" applyBorder="1" applyAlignment="1">
      <alignment horizontal="center"/>
    </xf>
    <xf numFmtId="0" fontId="94" fillId="7" borderId="0" xfId="1" applyFont="1" applyFill="1" applyAlignment="1">
      <alignment horizontal="left"/>
    </xf>
    <xf numFmtId="0" fontId="96" fillId="7" borderId="0" xfId="0" applyFont="1" applyFill="1" applyBorder="1"/>
    <xf numFmtId="0" fontId="94" fillId="7" borderId="0" xfId="0" applyFont="1" applyFill="1" applyBorder="1"/>
    <xf numFmtId="0" fontId="94" fillId="7" borderId="0" xfId="2" applyFont="1" applyFill="1"/>
    <xf numFmtId="0" fontId="96" fillId="7" borderId="0" xfId="2" applyFont="1" applyFill="1" applyBorder="1"/>
    <xf numFmtId="0" fontId="94" fillId="7" borderId="0" xfId="2" applyFont="1" applyFill="1" applyBorder="1" applyAlignment="1">
      <alignment horizontal="center"/>
    </xf>
    <xf numFmtId="0" fontId="96" fillId="7" borderId="0" xfId="0" applyFont="1" applyFill="1" applyBorder="1" applyAlignment="1">
      <alignment horizontal="center"/>
    </xf>
    <xf numFmtId="0" fontId="96" fillId="7" borderId="23" xfId="1" applyFont="1" applyFill="1" applyBorder="1" applyAlignment="1">
      <alignment horizontal="left"/>
    </xf>
    <xf numFmtId="0" fontId="94" fillId="7" borderId="23" xfId="1" applyFont="1" applyFill="1" applyBorder="1" applyAlignment="1">
      <alignment horizontal="center"/>
    </xf>
    <xf numFmtId="2" fontId="92" fillId="7" borderId="0" xfId="1" applyNumberFormat="1" applyFont="1" applyFill="1" applyAlignment="1">
      <alignment horizontal="center"/>
    </xf>
    <xf numFmtId="1" fontId="93" fillId="7" borderId="0" xfId="1" applyNumberFormat="1" applyFont="1" applyFill="1" applyAlignment="1">
      <alignment horizontal="center"/>
    </xf>
    <xf numFmtId="2" fontId="92" fillId="7" borderId="0" xfId="0" applyNumberFormat="1" applyFont="1" applyFill="1" applyAlignment="1">
      <alignment horizontal="center"/>
    </xf>
    <xf numFmtId="1" fontId="93" fillId="7" borderId="0" xfId="0" applyNumberFormat="1" applyFont="1" applyFill="1" applyAlignment="1">
      <alignment horizontal="center"/>
    </xf>
    <xf numFmtId="2" fontId="92" fillId="7" borderId="0" xfId="1" applyNumberFormat="1" applyFont="1" applyFill="1" applyBorder="1" applyAlignment="1">
      <alignment horizontal="center"/>
    </xf>
    <xf numFmtId="1" fontId="93" fillId="7" borderId="0" xfId="1" applyNumberFormat="1" applyFont="1" applyFill="1" applyBorder="1" applyAlignment="1">
      <alignment horizontal="center"/>
    </xf>
    <xf numFmtId="2" fontId="92" fillId="7" borderId="0" xfId="2" applyNumberFormat="1" applyFont="1" applyFill="1" applyBorder="1" applyAlignment="1">
      <alignment horizontal="center"/>
    </xf>
    <xf numFmtId="0" fontId="92" fillId="7" borderId="0" xfId="2" applyFont="1" applyFill="1" applyBorder="1" applyAlignment="1">
      <alignment horizontal="center"/>
    </xf>
    <xf numFmtId="1" fontId="93" fillId="7" borderId="0" xfId="2" applyNumberFormat="1" applyFont="1" applyFill="1" applyBorder="1" applyAlignment="1">
      <alignment horizontal="center"/>
    </xf>
    <xf numFmtId="2" fontId="0" fillId="8" borderId="0" xfId="0" applyNumberFormat="1" applyFill="1" applyBorder="1" applyAlignment="1">
      <alignment horizontal="center"/>
    </xf>
    <xf numFmtId="1" fontId="0" fillId="8" borderId="0" xfId="0" applyNumberFormat="1" applyFill="1" applyBorder="1" applyAlignment="1">
      <alignment horizontal="center"/>
    </xf>
    <xf numFmtId="0" fontId="0" fillId="5" borderId="11" xfId="0" applyFill="1" applyBorder="1" applyAlignment="1">
      <alignment horizontal="center"/>
    </xf>
    <xf numFmtId="165" fontId="0" fillId="8" borderId="0" xfId="0" applyNumberFormat="1" applyFill="1" applyBorder="1" applyAlignment="1">
      <alignment horizontal="center"/>
    </xf>
    <xf numFmtId="0" fontId="0" fillId="8" borderId="10" xfId="0" applyFill="1" applyBorder="1"/>
    <xf numFmtId="2" fontId="0" fillId="8" borderId="20" xfId="0" applyNumberFormat="1" applyFill="1" applyBorder="1" applyAlignment="1">
      <alignment horizontal="center"/>
    </xf>
    <xf numFmtId="1" fontId="0" fillId="8" borderId="8" xfId="0" applyNumberFormat="1" applyFill="1" applyBorder="1" applyAlignment="1">
      <alignment horizontal="center"/>
    </xf>
    <xf numFmtId="0" fontId="0" fillId="8" borderId="10" xfId="0" applyFill="1" applyBorder="1" applyAlignment="1">
      <alignment horizontal="center"/>
    </xf>
    <xf numFmtId="2" fontId="0" fillId="8" borderId="10" xfId="0" applyNumberFormat="1" applyFill="1" applyBorder="1" applyAlignment="1">
      <alignment horizontal="center"/>
    </xf>
    <xf numFmtId="1" fontId="0" fillId="8" borderId="11" xfId="0" applyNumberFormat="1" applyFill="1" applyBorder="1" applyAlignment="1">
      <alignment horizontal="center"/>
    </xf>
    <xf numFmtId="0" fontId="97" fillId="14" borderId="0" xfId="0" applyFont="1" applyFill="1" applyBorder="1" applyAlignment="1">
      <alignment horizontal="left" vertical="center"/>
    </xf>
    <xf numFmtId="0" fontId="99" fillId="14" borderId="25" xfId="0" applyFont="1" applyFill="1" applyBorder="1" applyAlignment="1">
      <alignment horizontal="left" vertical="center"/>
    </xf>
    <xf numFmtId="0" fontId="98" fillId="14" borderId="0" xfId="0" applyFont="1" applyFill="1" applyBorder="1" applyAlignment="1">
      <alignment horizontal="left" vertical="center"/>
    </xf>
    <xf numFmtId="0" fontId="98" fillId="14" borderId="0" xfId="0" applyFont="1" applyFill="1" applyBorder="1" applyAlignment="1">
      <alignment horizontal="center" vertical="center"/>
    </xf>
    <xf numFmtId="0" fontId="98" fillId="14" borderId="0" xfId="0" applyFont="1" applyFill="1" applyBorder="1" applyAlignment="1">
      <alignment horizontal="center" vertical="center" wrapText="1"/>
    </xf>
    <xf numFmtId="0" fontId="98" fillId="15" borderId="0" xfId="0" applyFont="1" applyFill="1" applyBorder="1" applyAlignment="1">
      <alignment horizontal="left" vertical="center"/>
    </xf>
    <xf numFmtId="0" fontId="98" fillId="15" borderId="0" xfId="0" applyFont="1" applyFill="1" applyBorder="1" applyAlignment="1">
      <alignment horizontal="left" vertical="center" wrapText="1"/>
    </xf>
    <xf numFmtId="0" fontId="99" fillId="0" borderId="0" xfId="0" applyFont="1" applyFill="1" applyBorder="1" applyAlignment="1">
      <alignment horizontal="left" vertical="center"/>
    </xf>
    <xf numFmtId="0" fontId="98" fillId="15" borderId="14" xfId="0" applyFont="1" applyFill="1" applyBorder="1" applyAlignment="1">
      <alignment horizontal="left" vertical="center" wrapText="1"/>
    </xf>
    <xf numFmtId="0" fontId="98" fillId="15" borderId="14" xfId="0" applyFont="1" applyFill="1" applyBorder="1" applyAlignment="1">
      <alignment horizontal="left" vertical="center"/>
    </xf>
    <xf numFmtId="0" fontId="0" fillId="0" borderId="7"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1" fillId="0" borderId="0" xfId="0" applyFont="1" applyAlignment="1">
      <alignment horizontal="center"/>
    </xf>
    <xf numFmtId="0" fontId="21" fillId="0" borderId="0" xfId="0" applyFont="1" applyFill="1" applyAlignment="1">
      <alignment horizontal="center"/>
    </xf>
    <xf numFmtId="0" fontId="0" fillId="0" borderId="2" xfId="0" applyFill="1" applyBorder="1" applyAlignment="1">
      <alignment horizontal="center"/>
    </xf>
    <xf numFmtId="165" fontId="0" fillId="0" borderId="0" xfId="0" applyNumberFormat="1" applyFill="1" applyAlignment="1">
      <alignment horizontal="center"/>
    </xf>
    <xf numFmtId="165" fontId="0" fillId="0" borderId="2" xfId="0" applyNumberFormat="1" applyFill="1" applyBorder="1" applyAlignment="1">
      <alignment horizontal="center"/>
    </xf>
    <xf numFmtId="0" fontId="21" fillId="5" borderId="0" xfId="0" applyFont="1" applyFill="1" applyAlignment="1">
      <alignment horizontal="center"/>
    </xf>
    <xf numFmtId="0" fontId="21" fillId="6" borderId="0" xfId="0" applyFont="1" applyFill="1" applyAlignment="1">
      <alignment horizontal="center"/>
    </xf>
    <xf numFmtId="0" fontId="12" fillId="0" borderId="14" xfId="0" applyFont="1" applyFill="1" applyBorder="1" applyAlignment="1">
      <alignment horizontal="right"/>
    </xf>
    <xf numFmtId="1" fontId="12" fillId="0" borderId="31" xfId="0" applyNumberFormat="1" applyFont="1" applyBorder="1" applyAlignment="1">
      <alignment horizontal="center"/>
    </xf>
    <xf numFmtId="0" fontId="12" fillId="0" borderId="32" xfId="0" applyFont="1" applyBorder="1" applyAlignment="1">
      <alignment horizontal="center"/>
    </xf>
    <xf numFmtId="0" fontId="29" fillId="0" borderId="0" xfId="0" applyFont="1"/>
    <xf numFmtId="0" fontId="29" fillId="0" borderId="0" xfId="0" applyFont="1" applyAlignment="1">
      <alignment horizontal="center"/>
    </xf>
    <xf numFmtId="164" fontId="29" fillId="0" borderId="0" xfId="0" applyNumberFormat="1" applyFont="1" applyAlignment="1">
      <alignment horizontal="center"/>
    </xf>
    <xf numFmtId="2" fontId="29" fillId="0" borderId="0" xfId="0" applyNumberFormat="1" applyFont="1" applyFill="1" applyBorder="1" applyAlignment="1">
      <alignment horizontal="center"/>
    </xf>
    <xf numFmtId="0" fontId="20" fillId="0" borderId="0" xfId="0" applyFont="1" applyFill="1"/>
    <xf numFmtId="2" fontId="20" fillId="0" borderId="0" xfId="0" applyNumberFormat="1" applyFont="1"/>
    <xf numFmtId="0" fontId="96" fillId="7" borderId="0" xfId="0" applyFont="1" applyFill="1"/>
    <xf numFmtId="0" fontId="96" fillId="7" borderId="0" xfId="0" applyFont="1" applyFill="1" applyBorder="1" applyAlignment="1">
      <alignment horizontal="left"/>
    </xf>
    <xf numFmtId="0" fontId="94" fillId="7" borderId="0" xfId="0" applyFont="1" applyFill="1" applyBorder="1" applyAlignment="1">
      <alignment horizontal="center"/>
    </xf>
    <xf numFmtId="0" fontId="93" fillId="7" borderId="0" xfId="0" applyFont="1" applyFill="1" applyAlignment="1">
      <alignment horizontal="center"/>
    </xf>
    <xf numFmtId="1" fontId="92" fillId="7" borderId="0" xfId="0" applyNumberFormat="1" applyFont="1" applyFill="1" applyAlignment="1">
      <alignment horizontal="center"/>
    </xf>
    <xf numFmtId="0" fontId="100" fillId="7" borderId="0" xfId="0" applyFont="1" applyFill="1" applyAlignment="1">
      <alignment horizontal="center"/>
    </xf>
    <xf numFmtId="0" fontId="92" fillId="7" borderId="0" xfId="0" applyFont="1" applyFill="1" applyAlignment="1">
      <alignment horizontal="left"/>
    </xf>
    <xf numFmtId="0" fontId="94" fillId="7" borderId="0" xfId="0" applyFont="1" applyFill="1" applyAlignment="1">
      <alignment horizontal="left" vertical="center"/>
    </xf>
    <xf numFmtId="0" fontId="92" fillId="7" borderId="0" xfId="0" applyFont="1" applyFill="1" applyAlignment="1">
      <alignment horizontal="center"/>
    </xf>
    <xf numFmtId="0" fontId="94" fillId="7" borderId="0" xfId="0" applyFont="1" applyFill="1" applyAlignment="1">
      <alignment horizontal="left"/>
    </xf>
    <xf numFmtId="0" fontId="94" fillId="7" borderId="0" xfId="0" applyFont="1" applyFill="1" applyBorder="1" applyAlignment="1">
      <alignment horizontal="left"/>
    </xf>
    <xf numFmtId="0" fontId="92" fillId="7" borderId="0" xfId="0" applyFont="1" applyFill="1" applyBorder="1"/>
    <xf numFmtId="3" fontId="0" fillId="5" borderId="8" xfId="0" applyNumberFormat="1" applyFill="1" applyBorder="1" applyAlignment="1">
      <alignment horizontal="center"/>
    </xf>
    <xf numFmtId="3" fontId="0" fillId="5" borderId="0" xfId="0" applyNumberFormat="1" applyFill="1" applyBorder="1" applyAlignment="1">
      <alignment horizontal="center"/>
    </xf>
    <xf numFmtId="3" fontId="0" fillId="8" borderId="8" xfId="0" applyNumberFormat="1" applyFill="1" applyBorder="1" applyAlignment="1">
      <alignment horizontal="center"/>
    </xf>
    <xf numFmtId="3" fontId="0" fillId="8" borderId="0" xfId="0" applyNumberFormat="1" applyFill="1" applyBorder="1" applyAlignment="1">
      <alignment horizontal="center"/>
    </xf>
    <xf numFmtId="3" fontId="0" fillId="6" borderId="8" xfId="0" applyNumberFormat="1" applyFill="1" applyBorder="1" applyAlignment="1">
      <alignment horizontal="center"/>
    </xf>
    <xf numFmtId="3" fontId="0" fillId="6" borderId="0" xfId="0" applyNumberFormat="1" applyFill="1" applyBorder="1" applyAlignment="1">
      <alignment horizontal="center"/>
    </xf>
    <xf numFmtId="3" fontId="0" fillId="8" borderId="0" xfId="0" applyNumberFormat="1" applyFill="1" applyAlignment="1">
      <alignment horizontal="center"/>
    </xf>
    <xf numFmtId="0" fontId="0" fillId="5" borderId="10" xfId="0" applyFill="1" applyBorder="1" applyAlignment="1">
      <alignment horizontal="left"/>
    </xf>
    <xf numFmtId="0" fontId="0" fillId="5" borderId="10" xfId="0" applyFill="1" applyBorder="1"/>
    <xf numFmtId="0" fontId="0" fillId="6" borderId="10" xfId="0" applyFill="1" applyBorder="1"/>
    <xf numFmtId="1" fontId="0" fillId="5" borderId="35" xfId="0" applyNumberFormat="1" applyFill="1" applyBorder="1" applyAlignment="1">
      <alignment horizontal="center"/>
    </xf>
    <xf numFmtId="0" fontId="0" fillId="5" borderId="35" xfId="0" applyFill="1" applyBorder="1" applyAlignment="1">
      <alignment horizontal="center"/>
    </xf>
    <xf numFmtId="0" fontId="0" fillId="8" borderId="35" xfId="0" applyFill="1" applyBorder="1" applyAlignment="1">
      <alignment horizontal="center"/>
    </xf>
    <xf numFmtId="0" fontId="0" fillId="6" borderId="35" xfId="0" applyFill="1" applyBorder="1" applyAlignment="1">
      <alignment horizontal="center"/>
    </xf>
    <xf numFmtId="1" fontId="0" fillId="8" borderId="35" xfId="0" applyNumberFormat="1" applyFill="1" applyBorder="1" applyAlignment="1">
      <alignment horizontal="center"/>
    </xf>
    <xf numFmtId="1" fontId="0" fillId="6" borderId="35" xfId="0" applyNumberFormat="1" applyFill="1" applyBorder="1" applyAlignment="1">
      <alignment horizontal="center"/>
    </xf>
    <xf numFmtId="49" fontId="0" fillId="5" borderId="37" xfId="0" applyNumberFormat="1" applyFill="1" applyBorder="1" applyAlignment="1">
      <alignment horizontal="center"/>
    </xf>
    <xf numFmtId="49" fontId="0" fillId="5" borderId="35" xfId="0" applyNumberFormat="1" applyFill="1" applyBorder="1" applyAlignment="1">
      <alignment horizontal="center"/>
    </xf>
    <xf numFmtId="3" fontId="0" fillId="5" borderId="37" xfId="0" applyNumberFormat="1" applyFill="1" applyBorder="1" applyAlignment="1">
      <alignment horizontal="center"/>
    </xf>
    <xf numFmtId="3" fontId="0" fillId="8" borderId="37" xfId="0" applyNumberFormat="1" applyFill="1" applyBorder="1" applyAlignment="1">
      <alignment horizontal="center"/>
    </xf>
    <xf numFmtId="3" fontId="0" fillId="6" borderId="37" xfId="0" applyNumberFormat="1" applyFill="1" applyBorder="1" applyAlignment="1">
      <alignment horizontal="center"/>
    </xf>
    <xf numFmtId="1" fontId="0" fillId="0" borderId="0" xfId="0" applyNumberFormat="1" applyBorder="1" applyAlignment="1">
      <alignment horizontal="left"/>
    </xf>
    <xf numFmtId="0" fontId="4" fillId="0" borderId="0" xfId="0" applyFont="1" applyBorder="1"/>
    <xf numFmtId="0" fontId="0" fillId="0" borderId="0" xfId="0" applyFill="1" applyAlignment="1">
      <alignment vertical="top"/>
    </xf>
    <xf numFmtId="0" fontId="25" fillId="5" borderId="0" xfId="0" applyFont="1" applyFill="1" applyAlignment="1">
      <alignment horizontal="center"/>
    </xf>
    <xf numFmtId="0" fontId="0" fillId="5" borderId="23" xfId="0" applyFill="1" applyBorder="1" applyAlignment="1">
      <alignment horizontal="center"/>
    </xf>
    <xf numFmtId="3" fontId="0" fillId="5" borderId="23" xfId="0" applyNumberFormat="1" applyFill="1" applyBorder="1" applyAlignment="1">
      <alignment horizontal="center"/>
    </xf>
    <xf numFmtId="3" fontId="0" fillId="5" borderId="38" xfId="0" applyNumberFormat="1" applyFill="1" applyBorder="1" applyAlignment="1">
      <alignment horizontal="center"/>
    </xf>
    <xf numFmtId="0" fontId="18" fillId="5" borderId="10" xfId="0" applyFont="1" applyFill="1" applyBorder="1" applyAlignment="1">
      <alignment horizontal="center"/>
    </xf>
    <xf numFmtId="2" fontId="18" fillId="5" borderId="11" xfId="0" applyNumberFormat="1" applyFont="1" applyFill="1" applyBorder="1" applyAlignment="1">
      <alignment horizontal="center"/>
    </xf>
    <xf numFmtId="4" fontId="0" fillId="6" borderId="10" xfId="0" applyNumberFormat="1" applyFont="1" applyFill="1" applyBorder="1" applyAlignment="1">
      <alignment horizontal="center" vertical="top"/>
    </xf>
    <xf numFmtId="4" fontId="0" fillId="6" borderId="11" xfId="0" applyNumberFormat="1" applyFont="1" applyFill="1" applyBorder="1" applyAlignment="1">
      <alignment horizontal="center" vertical="top"/>
    </xf>
    <xf numFmtId="1" fontId="0" fillId="5" borderId="23" xfId="0" applyNumberFormat="1" applyFill="1" applyBorder="1" applyAlignment="1">
      <alignment horizontal="center"/>
    </xf>
    <xf numFmtId="2" fontId="0" fillId="5" borderId="10" xfId="0" applyNumberFormat="1" applyFill="1" applyBorder="1" applyAlignment="1">
      <alignment horizontal="center"/>
    </xf>
    <xf numFmtId="0" fontId="26" fillId="5" borderId="8" xfId="0" applyFont="1" applyFill="1" applyBorder="1"/>
    <xf numFmtId="0" fontId="18" fillId="5" borderId="11" xfId="0" applyFont="1" applyFill="1" applyBorder="1" applyAlignment="1">
      <alignment horizontal="center"/>
    </xf>
    <xf numFmtId="3" fontId="0" fillId="5" borderId="10" xfId="0" applyNumberFormat="1" applyFill="1" applyBorder="1" applyAlignment="1">
      <alignment horizontal="center"/>
    </xf>
    <xf numFmtId="0" fontId="20" fillId="0" borderId="0" xfId="0" applyFont="1" applyFill="1" applyBorder="1" applyAlignment="1">
      <alignment horizontal="center"/>
    </xf>
    <xf numFmtId="1" fontId="20" fillId="0" borderId="0" xfId="0" applyNumberFormat="1" applyFont="1" applyFill="1" applyAlignment="1">
      <alignment horizontal="center"/>
    </xf>
    <xf numFmtId="3" fontId="0" fillId="5" borderId="11" xfId="0" applyNumberFormat="1" applyFill="1" applyBorder="1" applyAlignment="1">
      <alignment horizontal="center"/>
    </xf>
    <xf numFmtId="3" fontId="0" fillId="6" borderId="11" xfId="0" applyNumberFormat="1" applyFill="1" applyBorder="1" applyAlignment="1">
      <alignment horizontal="center"/>
    </xf>
    <xf numFmtId="3" fontId="0" fillId="5" borderId="0" xfId="0" applyNumberFormat="1" applyFill="1" applyAlignment="1">
      <alignment horizontal="center"/>
    </xf>
    <xf numFmtId="3" fontId="0" fillId="6" borderId="10" xfId="0" applyNumberFormat="1" applyFill="1" applyBorder="1" applyAlignment="1">
      <alignment horizontal="center"/>
    </xf>
    <xf numFmtId="2" fontId="0" fillId="8" borderId="11" xfId="0" applyNumberFormat="1" applyFill="1" applyBorder="1" applyAlignment="1">
      <alignment horizontal="center"/>
    </xf>
    <xf numFmtId="2" fontId="0" fillId="6" borderId="10" xfId="0" applyNumberFormat="1" applyFill="1" applyBorder="1" applyAlignment="1">
      <alignment horizontal="center"/>
    </xf>
    <xf numFmtId="168" fontId="0" fillId="5" borderId="0" xfId="0" applyNumberFormat="1" applyFill="1" applyAlignment="1">
      <alignment horizontal="center"/>
    </xf>
    <xf numFmtId="168" fontId="0" fillId="6" borderId="0" xfId="0" applyNumberFormat="1" applyFill="1" applyBorder="1" applyAlignment="1">
      <alignment horizontal="center"/>
    </xf>
    <xf numFmtId="3" fontId="0" fillId="5" borderId="5" xfId="0" applyNumberFormat="1" applyFill="1" applyBorder="1" applyAlignment="1">
      <alignment horizontal="center"/>
    </xf>
    <xf numFmtId="0" fontId="17" fillId="5" borderId="10" xfId="0" applyFont="1" applyFill="1" applyBorder="1"/>
    <xf numFmtId="2" fontId="25" fillId="5" borderId="0" xfId="0" applyNumberFormat="1" applyFont="1" applyFill="1" applyAlignment="1">
      <alignment horizontal="center"/>
    </xf>
    <xf numFmtId="0" fontId="0" fillId="4" borderId="17" xfId="0" applyFill="1" applyBorder="1" applyAlignment="1">
      <alignment horizontal="center" vertical="center" wrapText="1"/>
    </xf>
    <xf numFmtId="0" fontId="0" fillId="4" borderId="18" xfId="0" applyFill="1" applyBorder="1" applyAlignment="1">
      <alignment horizontal="center" vertical="center" wrapText="1"/>
    </xf>
    <xf numFmtId="0" fontId="0" fillId="5" borderId="9" xfId="0" applyFill="1" applyBorder="1"/>
    <xf numFmtId="166" fontId="0" fillId="5" borderId="10" xfId="0" applyNumberFormat="1" applyFill="1" applyBorder="1" applyAlignment="1">
      <alignment horizontal="center"/>
    </xf>
    <xf numFmtId="166" fontId="0" fillId="6" borderId="10" xfId="0" applyNumberFormat="1" applyFill="1" applyBorder="1" applyAlignment="1">
      <alignment horizontal="center"/>
    </xf>
    <xf numFmtId="166" fontId="0" fillId="5" borderId="9" xfId="0" applyNumberFormat="1" applyFill="1" applyBorder="1" applyAlignment="1">
      <alignment horizontal="center"/>
    </xf>
    <xf numFmtId="166" fontId="0" fillId="5" borderId="0" xfId="0" applyNumberFormat="1" applyFill="1" applyBorder="1" applyAlignment="1">
      <alignment horizontal="center"/>
    </xf>
    <xf numFmtId="166" fontId="0" fillId="6" borderId="11" xfId="0" applyNumberFormat="1" applyFill="1" applyBorder="1" applyAlignment="1">
      <alignment horizontal="center"/>
    </xf>
    <xf numFmtId="166" fontId="0" fillId="6" borderId="5" xfId="0" applyNumberFormat="1" applyFill="1" applyBorder="1" applyAlignment="1">
      <alignment horizontal="center"/>
    </xf>
    <xf numFmtId="166" fontId="0" fillId="6" borderId="6" xfId="0" applyNumberFormat="1" applyFill="1" applyBorder="1" applyAlignment="1">
      <alignment horizontal="center"/>
    </xf>
    <xf numFmtId="0" fontId="26" fillId="7" borderId="0" xfId="0" applyFont="1" applyFill="1" applyBorder="1" applyAlignment="1">
      <alignment horizontal="left"/>
    </xf>
    <xf numFmtId="0" fontId="29" fillId="7" borderId="0" xfId="0" applyFont="1" applyFill="1" applyBorder="1" applyAlignment="1">
      <alignment horizontal="center"/>
    </xf>
    <xf numFmtId="2" fontId="2" fillId="7" borderId="0" xfId="1" applyNumberFormat="1" applyFill="1" applyAlignment="1">
      <alignment horizontal="center"/>
    </xf>
    <xf numFmtId="0" fontId="26" fillId="7" borderId="0" xfId="1" applyFont="1" applyFill="1" applyBorder="1" applyAlignment="1">
      <alignment horizontal="left"/>
    </xf>
    <xf numFmtId="0" fontId="29" fillId="7" borderId="0" xfId="1" applyFont="1" applyFill="1" applyBorder="1" applyAlignment="1">
      <alignment horizontal="center"/>
    </xf>
    <xf numFmtId="0" fontId="101" fillId="0" borderId="0" xfId="0" applyFont="1" applyFill="1" applyAlignment="1">
      <alignment horizontal="left" vertical="center" wrapText="1"/>
    </xf>
    <xf numFmtId="0" fontId="26" fillId="7" borderId="0" xfId="0" applyFont="1" applyFill="1" applyBorder="1" applyAlignment="1">
      <alignment horizontal="left" vertical="center"/>
    </xf>
    <xf numFmtId="0" fontId="94" fillId="0" borderId="0" xfId="1" applyFont="1" applyFill="1" applyAlignment="1">
      <alignment horizontal="left"/>
    </xf>
    <xf numFmtId="0" fontId="96" fillId="0" borderId="0" xfId="1" applyFont="1" applyFill="1" applyBorder="1" applyAlignment="1">
      <alignment horizontal="left"/>
    </xf>
    <xf numFmtId="0" fontId="96" fillId="0" borderId="0" xfId="1" applyFont="1" applyFill="1" applyBorder="1" applyAlignment="1">
      <alignment horizontal="center"/>
    </xf>
    <xf numFmtId="2" fontId="92" fillId="0" borderId="0" xfId="1" applyNumberFormat="1" applyFont="1" applyFill="1" applyBorder="1" applyAlignment="1">
      <alignment horizontal="center"/>
    </xf>
    <xf numFmtId="1" fontId="93" fillId="0" borderId="0" xfId="1" applyNumberFormat="1" applyFont="1" applyFill="1" applyBorder="1" applyAlignment="1">
      <alignment horizontal="center"/>
    </xf>
    <xf numFmtId="0" fontId="37" fillId="7" borderId="0" xfId="1" applyFont="1" applyFill="1" applyBorder="1"/>
    <xf numFmtId="0" fontId="26" fillId="0" borderId="0" xfId="0" applyFont="1" applyFill="1" applyBorder="1" applyAlignment="1">
      <alignment horizontal="center" vertical="center"/>
    </xf>
    <xf numFmtId="2" fontId="0" fillId="0" borderId="0" xfId="0" applyNumberFormat="1" applyFill="1" applyBorder="1" applyAlignment="1">
      <alignment horizontal="center" vertical="center"/>
    </xf>
    <xf numFmtId="2" fontId="12" fillId="0" borderId="0" xfId="0" applyNumberFormat="1" applyFont="1" applyFill="1" applyBorder="1" applyAlignment="1">
      <alignment horizontal="center" vertical="center"/>
    </xf>
    <xf numFmtId="1" fontId="0" fillId="0" borderId="0" xfId="0" applyNumberFormat="1" applyFill="1" applyBorder="1" applyAlignment="1">
      <alignment horizontal="center" vertical="center"/>
    </xf>
    <xf numFmtId="0" fontId="0" fillId="0" borderId="0" xfId="0" applyFill="1" applyBorder="1" applyAlignment="1">
      <alignment horizontal="left" vertical="center"/>
    </xf>
    <xf numFmtId="0" fontId="0" fillId="0" borderId="0" xfId="0" applyFill="1" applyBorder="1" applyAlignment="1">
      <alignment horizontal="center" vertical="center"/>
    </xf>
    <xf numFmtId="0" fontId="94" fillId="0" borderId="0" xfId="1" applyFont="1" applyFill="1"/>
    <xf numFmtId="0" fontId="102" fillId="0" borderId="20" xfId="0" applyFont="1" applyFill="1" applyBorder="1" applyAlignment="1">
      <alignment horizontal="left"/>
    </xf>
    <xf numFmtId="0" fontId="0" fillId="16" borderId="0" xfId="0" applyFont="1" applyFill="1" applyAlignment="1">
      <alignment horizontal="left"/>
    </xf>
    <xf numFmtId="0" fontId="102" fillId="0" borderId="0" xfId="0" applyFont="1" applyFill="1" applyAlignment="1">
      <alignment horizontal="left"/>
    </xf>
    <xf numFmtId="0" fontId="4" fillId="0" borderId="21" xfId="0" applyFont="1" applyBorder="1"/>
    <xf numFmtId="1" fontId="12" fillId="17" borderId="0" xfId="0" applyNumberFormat="1" applyFont="1" applyFill="1" applyAlignment="1">
      <alignment horizontal="center"/>
    </xf>
    <xf numFmtId="0" fontId="0" fillId="17" borderId="0" xfId="0" applyFont="1" applyFill="1" applyAlignment="1">
      <alignment horizontal="left"/>
    </xf>
    <xf numFmtId="0" fontId="17" fillId="17" borderId="0" xfId="0" applyFont="1" applyFill="1" applyAlignment="1">
      <alignment horizontal="left" vertical="center"/>
    </xf>
    <xf numFmtId="0" fontId="0" fillId="17" borderId="23" xfId="0" applyFont="1" applyFill="1" applyBorder="1" applyAlignment="1">
      <alignment horizontal="left" vertical="center"/>
    </xf>
    <xf numFmtId="0" fontId="0" fillId="17" borderId="23" xfId="0" applyFont="1" applyFill="1" applyBorder="1" applyAlignment="1">
      <alignment horizontal="center" vertical="center" wrapText="1"/>
    </xf>
    <xf numFmtId="2" fontId="0" fillId="17" borderId="0" xfId="0" applyNumberFormat="1" applyFont="1" applyFill="1" applyAlignment="1">
      <alignment horizontal="center"/>
    </xf>
    <xf numFmtId="1" fontId="0" fillId="17" borderId="0" xfId="0" applyNumberFormat="1" applyFont="1" applyFill="1" applyAlignment="1">
      <alignment horizontal="center"/>
    </xf>
    <xf numFmtId="0" fontId="0" fillId="17" borderId="0" xfId="0" applyFont="1" applyFill="1" applyAlignment="1">
      <alignment horizontal="left" vertical="center"/>
    </xf>
    <xf numFmtId="0" fontId="0" fillId="17" borderId="0" xfId="0" applyFont="1" applyFill="1" applyAlignment="1">
      <alignment horizontal="center" vertical="center" wrapText="1"/>
    </xf>
    <xf numFmtId="0" fontId="0" fillId="17" borderId="0" xfId="0" applyFont="1" applyFill="1" applyAlignment="1">
      <alignment horizontal="left" vertical="center" wrapText="1"/>
    </xf>
    <xf numFmtId="0" fontId="18" fillId="17" borderId="23" xfId="0" applyFont="1" applyFill="1" applyBorder="1" applyAlignment="1">
      <alignment horizontal="left" vertical="center" wrapText="1"/>
    </xf>
    <xf numFmtId="0" fontId="18" fillId="17" borderId="23" xfId="0" applyFont="1" applyFill="1" applyBorder="1"/>
    <xf numFmtId="0" fontId="0" fillId="17" borderId="0" xfId="0" applyFill="1"/>
    <xf numFmtId="0" fontId="0" fillId="0" borderId="39" xfId="0" applyBorder="1"/>
    <xf numFmtId="0" fontId="0" fillId="0" borderId="27" xfId="0" applyFont="1" applyBorder="1" applyAlignment="1"/>
    <xf numFmtId="0" fontId="0" fillId="0" borderId="7" xfId="0" applyFont="1" applyFill="1" applyBorder="1"/>
    <xf numFmtId="166" fontId="0" fillId="0" borderId="10" xfId="0" applyNumberFormat="1" applyFill="1" applyBorder="1" applyAlignment="1">
      <alignment horizontal="center"/>
    </xf>
    <xf numFmtId="166" fontId="0" fillId="0" borderId="0" xfId="0" applyNumberFormat="1" applyFill="1" applyBorder="1" applyAlignment="1">
      <alignment horizontal="center"/>
    </xf>
    <xf numFmtId="1" fontId="0" fillId="0" borderId="7" xfId="0" applyNumberFormat="1" applyFill="1" applyBorder="1" applyAlignment="1">
      <alignment horizontal="center"/>
    </xf>
    <xf numFmtId="2" fontId="0" fillId="0" borderId="3" xfId="0" applyNumberFormat="1" applyFont="1" applyFill="1" applyBorder="1" applyAlignment="1">
      <alignment horizontal="center"/>
    </xf>
    <xf numFmtId="2" fontId="0" fillId="0" borderId="4" xfId="0" applyNumberFormat="1" applyFill="1" applyBorder="1" applyAlignment="1">
      <alignment horizontal="center"/>
    </xf>
    <xf numFmtId="165" fontId="0" fillId="0" borderId="4" xfId="0" applyNumberFormat="1" applyFill="1" applyBorder="1" applyAlignment="1">
      <alignment horizontal="center"/>
    </xf>
    <xf numFmtId="0" fontId="0" fillId="0" borderId="7" xfId="0" applyFill="1" applyBorder="1"/>
    <xf numFmtId="0" fontId="0" fillId="0" borderId="3" xfId="0" applyFill="1" applyBorder="1"/>
    <xf numFmtId="0" fontId="0" fillId="0" borderId="3" xfId="0" applyFill="1" applyBorder="1" applyAlignment="1">
      <alignment horizontal="center"/>
    </xf>
    <xf numFmtId="0" fontId="0" fillId="0" borderId="34" xfId="0" applyFill="1" applyBorder="1" applyAlignment="1">
      <alignment horizontal="center"/>
    </xf>
    <xf numFmtId="2" fontId="0" fillId="0" borderId="19" xfId="0" applyNumberFormat="1" applyFill="1" applyBorder="1" applyAlignment="1">
      <alignment horizontal="center"/>
    </xf>
    <xf numFmtId="3" fontId="0" fillId="0" borderId="36" xfId="0" applyNumberFormat="1" applyFill="1" applyBorder="1" applyAlignment="1">
      <alignment horizontal="center"/>
    </xf>
    <xf numFmtId="1" fontId="0" fillId="0" borderId="34" xfId="0" applyNumberFormat="1" applyFill="1" applyBorder="1" applyAlignment="1">
      <alignment horizontal="center"/>
    </xf>
    <xf numFmtId="3" fontId="0" fillId="0" borderId="7" xfId="0" applyNumberFormat="1" applyFill="1" applyBorder="1" applyAlignment="1">
      <alignment horizontal="center"/>
    </xf>
    <xf numFmtId="3" fontId="0" fillId="0" borderId="1" xfId="0" applyNumberFormat="1" applyFill="1" applyBorder="1" applyAlignment="1">
      <alignment horizontal="center"/>
    </xf>
    <xf numFmtId="0" fontId="0" fillId="0" borderId="4" xfId="0" applyFill="1" applyBorder="1" applyAlignment="1">
      <alignment horizontal="center" vertical="center" wrapText="1"/>
    </xf>
    <xf numFmtId="3" fontId="0" fillId="0" borderId="0" xfId="0" applyNumberFormat="1" applyFill="1" applyBorder="1" applyAlignment="1">
      <alignment horizontal="center"/>
    </xf>
    <xf numFmtId="1" fontId="0" fillId="0" borderId="3" xfId="0" applyNumberFormat="1" applyFill="1" applyBorder="1" applyAlignment="1">
      <alignment horizontal="center"/>
    </xf>
    <xf numFmtId="3" fontId="0" fillId="0" borderId="3" xfId="0" applyNumberFormat="1" applyFill="1" applyBorder="1" applyAlignment="1">
      <alignment horizontal="center"/>
    </xf>
    <xf numFmtId="3" fontId="0" fillId="0" borderId="0" xfId="0" applyNumberFormat="1" applyFill="1" applyAlignment="1">
      <alignment horizontal="center"/>
    </xf>
    <xf numFmtId="168" fontId="0" fillId="0" borderId="0" xfId="0" applyNumberFormat="1" applyFill="1" applyAlignment="1">
      <alignment horizontal="center"/>
    </xf>
    <xf numFmtId="3" fontId="0" fillId="0" borderId="4" xfId="0" applyNumberFormat="1" applyFill="1" applyBorder="1" applyAlignment="1">
      <alignment horizontal="center"/>
    </xf>
    <xf numFmtId="0" fontId="13" fillId="0" borderId="0" xfId="0" applyFont="1"/>
    <xf numFmtId="0" fontId="75" fillId="0" borderId="0" xfId="0" applyFont="1"/>
    <xf numFmtId="0" fontId="104" fillId="0" borderId="0" xfId="0" applyFont="1"/>
    <xf numFmtId="2" fontId="105" fillId="0" borderId="0" xfId="23" applyNumberFormat="1" applyFont="1" applyAlignment="1">
      <alignment horizontal="center"/>
    </xf>
    <xf numFmtId="0" fontId="106" fillId="0" borderId="0" xfId="1" applyFont="1" applyFill="1" applyBorder="1"/>
    <xf numFmtId="0" fontId="5" fillId="19" borderId="0" xfId="23" applyFont="1" applyFill="1" applyBorder="1"/>
    <xf numFmtId="0" fontId="5" fillId="19" borderId="0" xfId="23" applyFont="1" applyFill="1" applyAlignment="1">
      <alignment horizontal="left"/>
    </xf>
    <xf numFmtId="0" fontId="5" fillId="19" borderId="0" xfId="23" applyFont="1" applyFill="1"/>
    <xf numFmtId="0" fontId="87" fillId="18" borderId="0" xfId="23" applyFont="1" applyFill="1" applyAlignment="1">
      <alignment horizontal="left"/>
    </xf>
    <xf numFmtId="1" fontId="18" fillId="0" borderId="0" xfId="23" applyNumberFormat="1" applyFont="1" applyAlignment="1">
      <alignment horizontal="left"/>
    </xf>
    <xf numFmtId="0" fontId="12" fillId="0" borderId="0" xfId="0" applyFont="1" applyAlignment="1">
      <alignment horizontal="left" vertical="center" wrapText="1"/>
    </xf>
    <xf numFmtId="0" fontId="13" fillId="0" borderId="0" xfId="0" applyFont="1" applyAlignment="1">
      <alignment horizontal="left"/>
    </xf>
    <xf numFmtId="0" fontId="12" fillId="0" borderId="0" xfId="0" applyFont="1" applyAlignment="1">
      <alignment horizontal="center"/>
    </xf>
    <xf numFmtId="166" fontId="12" fillId="7" borderId="0" xfId="0" applyNumberFormat="1" applyFont="1" applyFill="1" applyAlignment="1">
      <alignment horizontal="center"/>
    </xf>
    <xf numFmtId="166" fontId="0" fillId="0" borderId="0" xfId="0" applyNumberFormat="1" applyFill="1" applyAlignment="1">
      <alignment horizontal="center"/>
    </xf>
    <xf numFmtId="0" fontId="26" fillId="0" borderId="0" xfId="0" applyFont="1" applyAlignment="1">
      <alignment horizontal="left"/>
    </xf>
    <xf numFmtId="0" fontId="0" fillId="0" borderId="0" xfId="0" applyFont="1" applyAlignment="1">
      <alignment horizontal="left"/>
    </xf>
    <xf numFmtId="0" fontId="29" fillId="0" borderId="0" xfId="0" applyFont="1" applyAlignment="1">
      <alignment wrapText="1"/>
    </xf>
    <xf numFmtId="1" fontId="0" fillId="0" borderId="0" xfId="0" applyNumberFormat="1" applyAlignment="1">
      <alignment horizontal="center"/>
    </xf>
    <xf numFmtId="0" fontId="0" fillId="0" borderId="3" xfId="0" applyBorder="1"/>
    <xf numFmtId="0" fontId="12" fillId="0" borderId="2" xfId="0" applyFont="1" applyBorder="1" applyAlignment="1">
      <alignment horizontal="center"/>
    </xf>
    <xf numFmtId="0" fontId="0" fillId="0" borderId="3" xfId="0" applyBorder="1" applyAlignment="1">
      <alignment horizontal="center"/>
    </xf>
    <xf numFmtId="0" fontId="75" fillId="0" borderId="0" xfId="0" applyFont="1" applyAlignment="1">
      <alignment horizontal="center"/>
    </xf>
    <xf numFmtId="0" fontId="29" fillId="0" borderId="0" xfId="0" applyFont="1" applyAlignment="1">
      <alignment horizontal="left"/>
    </xf>
    <xf numFmtId="0" fontId="0" fillId="0" borderId="3" xfId="0" applyBorder="1" applyAlignment="1">
      <alignment horizontal="left"/>
    </xf>
    <xf numFmtId="0" fontId="0" fillId="0" borderId="4" xfId="0" applyBorder="1" applyAlignment="1">
      <alignment horizont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0" fillId="0" borderId="11" xfId="0" applyBorder="1" applyAlignment="1">
      <alignment horizontal="center"/>
    </xf>
    <xf numFmtId="0" fontId="0" fillId="0" borderId="6" xfId="0" applyBorder="1" applyAlignment="1">
      <alignment horizontal="center"/>
    </xf>
    <xf numFmtId="1" fontId="0" fillId="0" borderId="10" xfId="0" applyNumberFormat="1" applyBorder="1" applyAlignment="1">
      <alignment horizontal="center"/>
    </xf>
    <xf numFmtId="1" fontId="0" fillId="0" borderId="5" xfId="0" applyNumberFormat="1" applyBorder="1" applyAlignment="1">
      <alignment horizontal="center"/>
    </xf>
    <xf numFmtId="165" fontId="0" fillId="0" borderId="11" xfId="0" applyNumberFormat="1" applyBorder="1" applyAlignment="1">
      <alignment horizontal="center"/>
    </xf>
    <xf numFmtId="0" fontId="12" fillId="0" borderId="0" xfId="0" applyFont="1" applyBorder="1" applyAlignment="1">
      <alignment horizontal="center" vertical="center"/>
    </xf>
    <xf numFmtId="165" fontId="0" fillId="0" borderId="0" xfId="0" applyNumberFormat="1" applyBorder="1" applyAlignment="1">
      <alignment horizontal="center"/>
    </xf>
    <xf numFmtId="0" fontId="0" fillId="0" borderId="0" xfId="0" applyBorder="1" applyAlignment="1">
      <alignment horizontal="center"/>
    </xf>
    <xf numFmtId="0" fontId="0" fillId="0" borderId="2" xfId="0" applyBorder="1" applyAlignment="1">
      <alignment horizontal="center"/>
    </xf>
    <xf numFmtId="166" fontId="0" fillId="18" borderId="0" xfId="0" applyNumberFormat="1" applyFill="1" applyBorder="1" applyAlignment="1">
      <alignment horizontal="center"/>
    </xf>
    <xf numFmtId="166" fontId="0" fillId="18" borderId="11" xfId="0" applyNumberFormat="1" applyFill="1" applyBorder="1" applyAlignment="1">
      <alignment horizontal="center"/>
    </xf>
    <xf numFmtId="165" fontId="0" fillId="18" borderId="11" xfId="0" applyNumberFormat="1" applyFill="1" applyBorder="1" applyAlignment="1">
      <alignment horizontal="center"/>
    </xf>
    <xf numFmtId="0" fontId="0" fillId="0" borderId="1" xfId="0" applyBorder="1" applyAlignment="1">
      <alignment horizontal="left"/>
    </xf>
    <xf numFmtId="165" fontId="0" fillId="18" borderId="0" xfId="0" applyNumberFormat="1" applyFill="1" applyBorder="1" applyAlignment="1">
      <alignment horizontal="center"/>
    </xf>
    <xf numFmtId="165" fontId="0" fillId="18" borderId="6" xfId="0" applyNumberFormat="1" applyFill="1" applyBorder="1" applyAlignment="1">
      <alignment horizontal="center"/>
    </xf>
    <xf numFmtId="166" fontId="0" fillId="7" borderId="0" xfId="0" applyNumberFormat="1" applyFill="1" applyBorder="1" applyAlignment="1">
      <alignment horizontal="center"/>
    </xf>
    <xf numFmtId="166" fontId="0" fillId="7" borderId="11" xfId="0" applyNumberFormat="1" applyFill="1" applyBorder="1" applyAlignment="1">
      <alignment horizontal="center"/>
    </xf>
    <xf numFmtId="1" fontId="0" fillId="18" borderId="10" xfId="0" applyNumberFormat="1" applyFill="1" applyBorder="1" applyAlignment="1">
      <alignment horizontal="center"/>
    </xf>
    <xf numFmtId="1" fontId="0" fillId="18" borderId="5" xfId="0" applyNumberFormat="1" applyFill="1" applyBorder="1" applyAlignment="1">
      <alignment horizontal="center"/>
    </xf>
    <xf numFmtId="1" fontId="0" fillId="0" borderId="3" xfId="0" applyNumberFormat="1" applyBorder="1" applyAlignment="1">
      <alignment horizontal="center"/>
    </xf>
    <xf numFmtId="0" fontId="28" fillId="0" borderId="0" xfId="0" applyFont="1" applyAlignment="1">
      <alignment vertical="center"/>
    </xf>
    <xf numFmtId="0" fontId="28" fillId="0" borderId="0" xfId="0" applyFont="1" applyAlignment="1">
      <alignment horizontal="left" vertical="center"/>
    </xf>
    <xf numFmtId="0" fontId="4" fillId="0" borderId="0" xfId="0" applyFont="1" applyAlignment="1">
      <alignment wrapText="1"/>
    </xf>
    <xf numFmtId="0" fontId="28" fillId="0" borderId="0" xfId="0" applyFont="1" applyFill="1" applyBorder="1" applyAlignment="1">
      <alignment horizontal="left" wrapText="1"/>
    </xf>
    <xf numFmtId="0" fontId="28" fillId="0" borderId="0" xfId="0" applyFont="1" applyFill="1" applyBorder="1" applyAlignment="1">
      <alignment horizontal="left" vertical="center"/>
    </xf>
    <xf numFmtId="0" fontId="28" fillId="0" borderId="0" xfId="0" applyFont="1" applyAlignment="1">
      <alignment vertical="center" wrapText="1"/>
    </xf>
    <xf numFmtId="49" fontId="5" fillId="0" borderId="0" xfId="23" applyNumberFormat="1" applyFont="1" applyFill="1" applyBorder="1"/>
    <xf numFmtId="49" fontId="5" fillId="0" borderId="0" xfId="23" applyNumberFormat="1" applyFont="1" applyFill="1" applyBorder="1" applyAlignment="1">
      <alignment horizontal="left"/>
    </xf>
    <xf numFmtId="0" fontId="107" fillId="0" borderId="0" xfId="23" applyFont="1" applyFill="1" applyBorder="1"/>
    <xf numFmtId="49" fontId="107" fillId="0" borderId="0" xfId="23" applyNumberFormat="1" applyFont="1" applyFill="1" applyBorder="1"/>
    <xf numFmtId="49" fontId="107" fillId="0" borderId="0" xfId="23" applyNumberFormat="1" applyFont="1" applyFill="1" applyBorder="1" applyAlignment="1">
      <alignment horizontal="center"/>
    </xf>
    <xf numFmtId="49" fontId="108" fillId="0" borderId="0" xfId="23" applyNumberFormat="1" applyFont="1" applyFill="1" applyBorder="1" applyAlignment="1">
      <alignment horizontal="left"/>
    </xf>
    <xf numFmtId="49" fontId="108" fillId="18" borderId="0" xfId="23" applyNumberFormat="1" applyFont="1" applyFill="1" applyBorder="1"/>
    <xf numFmtId="49" fontId="109" fillId="0" borderId="0" xfId="23" applyNumberFormat="1" applyFont="1" applyFill="1" applyBorder="1" applyAlignment="1">
      <alignment horizontal="left"/>
    </xf>
    <xf numFmtId="0" fontId="109" fillId="0" borderId="0" xfId="23" applyFont="1" applyFill="1" applyBorder="1" applyAlignment="1">
      <alignment horizontal="left"/>
    </xf>
    <xf numFmtId="1" fontId="0" fillId="0" borderId="0" xfId="0" applyNumberFormat="1" applyBorder="1" applyAlignment="1">
      <alignment horizontal="center"/>
    </xf>
    <xf numFmtId="165" fontId="0" fillId="18" borderId="2" xfId="0" applyNumberFormat="1" applyFill="1" applyBorder="1" applyAlignment="1">
      <alignment horizontal="center"/>
    </xf>
    <xf numFmtId="0" fontId="0" fillId="0" borderId="5" xfId="0" applyBorder="1"/>
    <xf numFmtId="166" fontId="0" fillId="7" borderId="2" xfId="0" applyNumberFormat="1" applyFill="1" applyBorder="1" applyAlignment="1">
      <alignment horizontal="center"/>
    </xf>
    <xf numFmtId="166" fontId="0" fillId="7" borderId="6" xfId="0" applyNumberFormat="1" applyFill="1" applyBorder="1" applyAlignment="1">
      <alignment horizontal="center"/>
    </xf>
    <xf numFmtId="0" fontId="12" fillId="7" borderId="3" xfId="0" applyFont="1" applyFill="1" applyBorder="1"/>
    <xf numFmtId="0" fontId="13" fillId="7" borderId="10" xfId="0" applyFont="1" applyFill="1" applyBorder="1" applyAlignment="1">
      <alignment vertical="center"/>
    </xf>
    <xf numFmtId="0" fontId="36" fillId="0" borderId="11" xfId="0" applyFont="1" applyBorder="1" applyAlignment="1">
      <alignment horizontal="center" vertical="center" wrapText="1"/>
    </xf>
    <xf numFmtId="0" fontId="29" fillId="0" borderId="10" xfId="0" applyFont="1" applyBorder="1"/>
    <xf numFmtId="0" fontId="0" fillId="18" borderId="11" xfId="0" applyFill="1" applyBorder="1" applyAlignment="1">
      <alignment horizontal="center"/>
    </xf>
    <xf numFmtId="0" fontId="29" fillId="0" borderId="5" xfId="0" applyFont="1" applyBorder="1"/>
    <xf numFmtId="1" fontId="0" fillId="0" borderId="2" xfId="0" applyNumberFormat="1" applyBorder="1" applyAlignment="1">
      <alignment horizontal="center"/>
    </xf>
    <xf numFmtId="1" fontId="12" fillId="0" borderId="0" xfId="0" applyNumberFormat="1" applyFont="1" applyBorder="1" applyAlignment="1">
      <alignment horizontal="center" vertical="center"/>
    </xf>
    <xf numFmtId="0" fontId="0" fillId="18" borderId="6" xfId="0" applyFill="1" applyBorder="1" applyAlignment="1">
      <alignment horizontal="center"/>
    </xf>
    <xf numFmtId="0" fontId="26" fillId="0" borderId="5" xfId="0" applyFont="1" applyBorder="1" applyAlignment="1">
      <alignment horizontal="left"/>
    </xf>
    <xf numFmtId="0" fontId="0" fillId="0" borderId="1" xfId="0" applyBorder="1" applyAlignment="1">
      <alignment horizontal="right"/>
    </xf>
    <xf numFmtId="166" fontId="0" fillId="0" borderId="1" xfId="0" applyNumberFormat="1" applyBorder="1" applyAlignment="1">
      <alignment horizontal="center"/>
    </xf>
    <xf numFmtId="166" fontId="0" fillId="18" borderId="2" xfId="0" applyNumberFormat="1" applyFill="1" applyBorder="1" applyAlignment="1">
      <alignment horizontal="center"/>
    </xf>
    <xf numFmtId="0" fontId="29" fillId="18" borderId="10" xfId="0" applyFont="1" applyFill="1" applyBorder="1"/>
    <xf numFmtId="1" fontId="0" fillId="18" borderId="0" xfId="0" applyNumberFormat="1" applyFill="1" applyBorder="1" applyAlignment="1">
      <alignment horizontal="center"/>
    </xf>
    <xf numFmtId="0" fontId="29" fillId="18" borderId="5" xfId="0" applyFont="1" applyFill="1" applyBorder="1"/>
    <xf numFmtId="1" fontId="0" fillId="18" borderId="2" xfId="0" applyNumberFormat="1" applyFill="1" applyBorder="1" applyAlignment="1">
      <alignment horizontal="center"/>
    </xf>
    <xf numFmtId="0" fontId="22" fillId="0" borderId="0" xfId="0" applyFont="1" applyAlignment="1">
      <alignment horizontal="left"/>
    </xf>
    <xf numFmtId="166" fontId="12" fillId="0" borderId="0" xfId="0" applyNumberFormat="1" applyFont="1" applyFill="1" applyAlignment="1">
      <alignment horizontal="center"/>
    </xf>
    <xf numFmtId="0" fontId="12" fillId="7" borderId="0" xfId="0" applyFont="1" applyFill="1" applyAlignment="1">
      <alignment horizontal="center"/>
    </xf>
    <xf numFmtId="0" fontId="36" fillId="7" borderId="0" xfId="0" applyFont="1" applyFill="1" applyAlignment="1">
      <alignment horizontal="center"/>
    </xf>
    <xf numFmtId="0" fontId="19" fillId="7" borderId="0" xfId="0" applyFont="1" applyFill="1" applyAlignment="1">
      <alignment horizontal="center"/>
    </xf>
    <xf numFmtId="0" fontId="92" fillId="0" borderId="0" xfId="0" applyFont="1" applyFill="1"/>
    <xf numFmtId="0" fontId="0" fillId="0" borderId="0" xfId="0" applyFont="1" applyBorder="1" applyAlignment="1">
      <alignment horizontal="center"/>
    </xf>
    <xf numFmtId="0" fontId="19" fillId="7" borderId="21" xfId="0" applyFont="1" applyFill="1" applyBorder="1" applyAlignment="1">
      <alignment horizontal="center" vertical="center" wrapText="1"/>
    </xf>
    <xf numFmtId="0" fontId="35" fillId="0" borderId="21" xfId="0" applyFont="1" applyFill="1" applyBorder="1" applyAlignment="1">
      <alignment horizontal="center" vertical="center" wrapText="1"/>
    </xf>
    <xf numFmtId="166" fontId="35" fillId="7" borderId="21" xfId="0" applyNumberFormat="1" applyFont="1" applyFill="1" applyBorder="1" applyAlignment="1">
      <alignment horizontal="center" vertical="center" wrapText="1"/>
    </xf>
    <xf numFmtId="0" fontId="12" fillId="0" borderId="22" xfId="0" applyFont="1" applyBorder="1" applyAlignment="1">
      <alignment horizontal="left" vertical="center"/>
    </xf>
    <xf numFmtId="0" fontId="12" fillId="0" borderId="28" xfId="0" applyFont="1" applyBorder="1"/>
    <xf numFmtId="0" fontId="12" fillId="0" borderId="39" xfId="0" applyFont="1" applyBorder="1"/>
    <xf numFmtId="0" fontId="12" fillId="7" borderId="2" xfId="0" applyFont="1" applyFill="1" applyBorder="1" applyAlignment="1">
      <alignment horizontal="center"/>
    </xf>
    <xf numFmtId="0" fontId="12" fillId="0" borderId="2" xfId="0" applyFont="1" applyFill="1" applyBorder="1" applyAlignment="1">
      <alignment horizontal="center"/>
    </xf>
    <xf numFmtId="0" fontId="19" fillId="7" borderId="21" xfId="0" applyFont="1" applyFill="1" applyBorder="1" applyAlignment="1">
      <alignment horizontal="center" vertical="center"/>
    </xf>
    <xf numFmtId="0" fontId="0" fillId="0" borderId="28" xfId="0" applyBorder="1"/>
    <xf numFmtId="165" fontId="0" fillId="0" borderId="0" xfId="0" applyNumberFormat="1" applyAlignment="1">
      <alignment horizontal="center"/>
    </xf>
    <xf numFmtId="0" fontId="29" fillId="0" borderId="3" xfId="0" applyFont="1" applyBorder="1" applyAlignment="1">
      <alignment horizontal="center"/>
    </xf>
    <xf numFmtId="0" fontId="29" fillId="0" borderId="1" xfId="0" applyFont="1" applyBorder="1" applyAlignment="1">
      <alignment horizontal="center"/>
    </xf>
    <xf numFmtId="0" fontId="36" fillId="0" borderId="1" xfId="0" applyFont="1" applyBorder="1" applyAlignment="1">
      <alignment horizontal="center"/>
    </xf>
    <xf numFmtId="0" fontId="29" fillId="0" borderId="4" xfId="0" applyFont="1" applyBorder="1" applyAlignment="1">
      <alignment horizontal="center"/>
    </xf>
    <xf numFmtId="0" fontId="29" fillId="0" borderId="1" xfId="0" applyFont="1" applyBorder="1"/>
    <xf numFmtId="0" fontId="29" fillId="0" borderId="4" xfId="0" applyFont="1" applyBorder="1"/>
    <xf numFmtId="0" fontId="36" fillId="0" borderId="0" xfId="0" applyFont="1" applyAlignment="1">
      <alignment horizontal="center"/>
    </xf>
    <xf numFmtId="0" fontId="36" fillId="0" borderId="2" xfId="0" applyFont="1" applyBorder="1" applyAlignment="1">
      <alignment horizontal="center"/>
    </xf>
    <xf numFmtId="0" fontId="36" fillId="0" borderId="0" xfId="0" applyFont="1" applyFill="1" applyBorder="1" applyAlignment="1">
      <alignment horizontal="center"/>
    </xf>
    <xf numFmtId="1" fontId="29" fillId="0" borderId="0" xfId="0" applyNumberFormat="1" applyFont="1" applyAlignment="1">
      <alignment horizontal="center"/>
    </xf>
    <xf numFmtId="0" fontId="26" fillId="0" borderId="0" xfId="0" applyFont="1" applyAlignment="1">
      <alignment horizontal="center" textRotation="90" wrapText="1"/>
    </xf>
    <xf numFmtId="0" fontId="29" fillId="0" borderId="5" xfId="0" applyFont="1" applyBorder="1" applyAlignment="1">
      <alignment horizontal="center"/>
    </xf>
    <xf numFmtId="0" fontId="29" fillId="20" borderId="23" xfId="0" applyFont="1" applyFill="1" applyBorder="1" applyAlignment="1">
      <alignment horizontal="left"/>
    </xf>
    <xf numFmtId="0" fontId="29" fillId="20" borderId="20" xfId="0" applyFont="1" applyFill="1" applyBorder="1" applyAlignment="1">
      <alignment horizontal="center"/>
    </xf>
    <xf numFmtId="0" fontId="29" fillId="20" borderId="27" xfId="0" applyFont="1" applyFill="1" applyBorder="1" applyAlignment="1">
      <alignment horizontal="left"/>
    </xf>
    <xf numFmtId="0" fontId="29" fillId="20" borderId="40" xfId="0" applyFont="1" applyFill="1" applyBorder="1" applyAlignment="1">
      <alignment horizontal="center"/>
    </xf>
    <xf numFmtId="0" fontId="29" fillId="20" borderId="30" xfId="0" applyFont="1" applyFill="1" applyBorder="1" applyAlignment="1">
      <alignment horizontal="center"/>
    </xf>
    <xf numFmtId="0" fontId="19" fillId="0" borderId="0" xfId="0" applyFont="1" applyAlignment="1">
      <alignment horizontal="center" textRotation="90" wrapText="1"/>
    </xf>
    <xf numFmtId="0" fontId="36" fillId="7" borderId="6" xfId="0" applyFont="1" applyFill="1" applyBorder="1" applyAlignment="1">
      <alignment horizontal="center" textRotation="90" wrapText="1"/>
    </xf>
    <xf numFmtId="0" fontId="36" fillId="0" borderId="0" xfId="0" applyFont="1" applyBorder="1" applyAlignment="1">
      <alignment horizontal="center"/>
    </xf>
    <xf numFmtId="0" fontId="29" fillId="0" borderId="23" xfId="0" applyFont="1" applyBorder="1" applyAlignment="1">
      <alignment horizontal="center"/>
    </xf>
    <xf numFmtId="0" fontId="29" fillId="0" borderId="20" xfId="0" applyFont="1" applyBorder="1" applyAlignment="1">
      <alignment horizontal="center"/>
    </xf>
    <xf numFmtId="0" fontId="19" fillId="0" borderId="0" xfId="0" applyFont="1" applyBorder="1" applyAlignment="1">
      <alignment horizontal="center" textRotation="90"/>
    </xf>
    <xf numFmtId="0" fontId="36" fillId="0" borderId="0" xfId="0" applyFont="1" applyBorder="1" applyAlignment="1">
      <alignment horizontal="center" textRotation="90"/>
    </xf>
    <xf numFmtId="165" fontId="29" fillId="0" borderId="20" xfId="0" applyNumberFormat="1" applyFont="1" applyBorder="1" applyAlignment="1">
      <alignment horizontal="center"/>
    </xf>
    <xf numFmtId="0" fontId="36" fillId="0" borderId="10" xfId="0" applyFont="1" applyBorder="1" applyAlignment="1">
      <alignment horizontal="center"/>
    </xf>
    <xf numFmtId="0" fontId="29" fillId="0" borderId="0" xfId="0" applyFont="1" applyBorder="1" applyAlignment="1">
      <alignment horizontal="center"/>
    </xf>
    <xf numFmtId="0" fontId="36" fillId="0" borderId="0" xfId="0" applyFont="1" applyBorder="1" applyAlignment="1">
      <alignment horizontal="center" wrapText="1"/>
    </xf>
    <xf numFmtId="0" fontId="36" fillId="7" borderId="0" xfId="0" applyFont="1" applyFill="1" applyBorder="1" applyAlignment="1">
      <alignment horizontal="center" wrapText="1"/>
    </xf>
    <xf numFmtId="0" fontId="36" fillId="0" borderId="11" xfId="0" applyFont="1" applyBorder="1" applyAlignment="1">
      <alignment horizontal="center" wrapText="1"/>
    </xf>
    <xf numFmtId="0" fontId="36" fillId="0" borderId="0" xfId="0" applyFont="1" applyBorder="1" applyAlignment="1">
      <alignment horizontal="center" textRotation="90" wrapText="1"/>
    </xf>
    <xf numFmtId="0" fontId="36" fillId="7" borderId="11" xfId="0" applyFont="1" applyFill="1" applyBorder="1" applyAlignment="1">
      <alignment horizontal="center" textRotation="90" wrapText="1"/>
    </xf>
    <xf numFmtId="0" fontId="29" fillId="20" borderId="25" xfId="0" applyFont="1" applyFill="1" applyBorder="1" applyAlignment="1">
      <alignment horizontal="center"/>
    </xf>
    <xf numFmtId="0" fontId="29" fillId="0" borderId="19" xfId="0" applyFont="1" applyBorder="1" applyAlignment="1">
      <alignment horizontal="center"/>
    </xf>
    <xf numFmtId="0" fontId="29" fillId="0" borderId="15" xfId="0" applyFont="1" applyBorder="1" applyAlignment="1">
      <alignment horizontal="center"/>
    </xf>
    <xf numFmtId="165" fontId="29" fillId="0" borderId="19" xfId="0" applyNumberFormat="1" applyFont="1" applyBorder="1" applyAlignment="1">
      <alignment horizontal="center"/>
    </xf>
    <xf numFmtId="0" fontId="29" fillId="0" borderId="15" xfId="0" applyFont="1" applyFill="1" applyBorder="1" applyAlignment="1">
      <alignment horizontal="center"/>
    </xf>
    <xf numFmtId="165" fontId="29" fillId="7" borderId="1" xfId="0" applyNumberFormat="1" applyFont="1" applyFill="1" applyBorder="1" applyAlignment="1">
      <alignment horizontal="center"/>
    </xf>
    <xf numFmtId="0" fontId="29" fillId="0" borderId="10" xfId="0" applyFont="1" applyBorder="1" applyAlignment="1">
      <alignment horizontal="center"/>
    </xf>
    <xf numFmtId="165" fontId="29" fillId="7" borderId="0" xfId="0" applyNumberFormat="1" applyFont="1" applyFill="1" applyBorder="1" applyAlignment="1">
      <alignment horizontal="center"/>
    </xf>
    <xf numFmtId="0" fontId="29" fillId="0" borderId="41" xfId="0" applyFont="1" applyBorder="1" applyAlignment="1">
      <alignment horizontal="center"/>
    </xf>
    <xf numFmtId="0" fontId="29" fillId="0" borderId="16" xfId="0" applyFont="1" applyBorder="1" applyAlignment="1">
      <alignment horizontal="center"/>
    </xf>
    <xf numFmtId="165" fontId="29" fillId="0" borderId="41" xfId="0" applyNumberFormat="1" applyFont="1" applyBorder="1" applyAlignment="1">
      <alignment horizontal="center"/>
    </xf>
    <xf numFmtId="0" fontId="29" fillId="0" borderId="16" xfId="0" applyFont="1" applyFill="1" applyBorder="1" applyAlignment="1">
      <alignment horizontal="center"/>
    </xf>
    <xf numFmtId="0" fontId="29" fillId="0" borderId="2" xfId="0" applyFont="1" applyBorder="1" applyAlignment="1">
      <alignment horizontal="center"/>
    </xf>
    <xf numFmtId="165" fontId="29" fillId="7" borderId="2" xfId="0" applyNumberFormat="1" applyFont="1" applyFill="1" applyBorder="1" applyAlignment="1">
      <alignment horizontal="center"/>
    </xf>
    <xf numFmtId="0" fontId="29" fillId="7" borderId="1" xfId="0" applyFont="1" applyFill="1" applyBorder="1" applyAlignment="1">
      <alignment horizontal="center"/>
    </xf>
    <xf numFmtId="165" fontId="29" fillId="0" borderId="1" xfId="0" applyNumberFormat="1" applyFont="1" applyBorder="1" applyAlignment="1">
      <alignment horizontal="center"/>
    </xf>
    <xf numFmtId="165" fontId="29" fillId="0" borderId="0" xfId="0" applyNumberFormat="1" applyFont="1" applyBorder="1" applyAlignment="1">
      <alignment horizontal="center"/>
    </xf>
    <xf numFmtId="0" fontId="29" fillId="7" borderId="2" xfId="0" applyFont="1" applyFill="1" applyBorder="1" applyAlignment="1">
      <alignment horizontal="center"/>
    </xf>
    <xf numFmtId="165" fontId="29" fillId="0" borderId="2" xfId="0" applyNumberFormat="1" applyFont="1" applyBorder="1" applyAlignment="1">
      <alignment horizontal="center"/>
    </xf>
    <xf numFmtId="0" fontId="36" fillId="0" borderId="0" xfId="0" applyFont="1" applyBorder="1" applyAlignment="1">
      <alignment textRotation="90" wrapText="1"/>
    </xf>
    <xf numFmtId="1" fontId="29" fillId="7" borderId="0" xfId="0" applyNumberFormat="1" applyFont="1" applyFill="1" applyBorder="1" applyAlignment="1">
      <alignment horizontal="center"/>
    </xf>
    <xf numFmtId="0" fontId="36" fillId="0" borderId="2" xfId="0" applyFont="1" applyFill="1" applyBorder="1" applyAlignment="1">
      <alignment horizontal="center"/>
    </xf>
    <xf numFmtId="0" fontId="29" fillId="20" borderId="42" xfId="0" applyFont="1" applyFill="1" applyBorder="1" applyAlignment="1">
      <alignment horizontal="left"/>
    </xf>
    <xf numFmtId="0" fontId="29" fillId="20" borderId="43" xfId="0" applyFont="1" applyFill="1" applyBorder="1" applyAlignment="1">
      <alignment horizontal="center"/>
    </xf>
    <xf numFmtId="0" fontId="102" fillId="20" borderId="27" xfId="0" applyFont="1" applyFill="1" applyBorder="1" applyAlignment="1">
      <alignment horizontal="left"/>
    </xf>
    <xf numFmtId="0" fontId="102" fillId="20" borderId="40" xfId="0" applyFont="1" applyFill="1" applyBorder="1" applyAlignment="1">
      <alignment horizontal="center"/>
    </xf>
    <xf numFmtId="0" fontId="36" fillId="0" borderId="2" xfId="0" applyFont="1" applyBorder="1" applyAlignment="1">
      <alignment horizontal="center" textRotation="90"/>
    </xf>
    <xf numFmtId="0" fontId="36" fillId="0" borderId="2" xfId="0" applyFont="1" applyBorder="1" applyAlignment="1">
      <alignment horizontal="center" textRotation="90" wrapText="1"/>
    </xf>
    <xf numFmtId="0" fontId="36" fillId="0" borderId="5" xfId="0" applyFont="1" applyBorder="1" applyAlignment="1">
      <alignment horizontal="center"/>
    </xf>
    <xf numFmtId="0" fontId="19" fillId="0" borderId="2" xfId="0" applyFont="1" applyBorder="1" applyAlignment="1">
      <alignment horizontal="center" textRotation="90"/>
    </xf>
    <xf numFmtId="0" fontId="36" fillId="0" borderId="2" xfId="0" applyFont="1" applyBorder="1" applyAlignment="1">
      <alignment horizontal="center" wrapText="1"/>
    </xf>
    <xf numFmtId="0" fontId="36" fillId="7" borderId="2" xfId="0" applyFont="1" applyFill="1" applyBorder="1" applyAlignment="1">
      <alignment horizontal="center" wrapText="1"/>
    </xf>
    <xf numFmtId="165" fontId="26" fillId="7" borderId="0" xfId="0" applyNumberFormat="1" applyFont="1" applyFill="1" applyBorder="1" applyAlignment="1">
      <alignment horizontal="center"/>
    </xf>
    <xf numFmtId="1" fontId="26" fillId="7" borderId="0" xfId="0" applyNumberFormat="1" applyFont="1" applyFill="1" applyBorder="1" applyAlignment="1">
      <alignment horizontal="center"/>
    </xf>
    <xf numFmtId="165" fontId="26" fillId="7" borderId="2" xfId="0" applyNumberFormat="1" applyFont="1" applyFill="1" applyBorder="1" applyAlignment="1">
      <alignment horizontal="center"/>
    </xf>
    <xf numFmtId="0" fontId="22" fillId="7" borderId="0" xfId="0" applyFont="1" applyFill="1" applyAlignment="1">
      <alignment wrapText="1"/>
    </xf>
    <xf numFmtId="0" fontId="36" fillId="0" borderId="6" xfId="0" applyFont="1" applyBorder="1" applyAlignment="1">
      <alignment horizontal="center" wrapText="1"/>
    </xf>
    <xf numFmtId="0" fontId="17" fillId="0" borderId="3" xfId="0" applyFont="1" applyBorder="1" applyAlignment="1">
      <alignment horizontal="center"/>
    </xf>
    <xf numFmtId="0" fontId="17" fillId="0" borderId="1" xfId="0" applyFont="1" applyBorder="1" applyAlignment="1">
      <alignment horizontal="center"/>
    </xf>
    <xf numFmtId="0" fontId="17" fillId="0" borderId="19" xfId="0" applyFont="1" applyBorder="1" applyAlignment="1">
      <alignment horizontal="center"/>
    </xf>
    <xf numFmtId="0" fontId="17" fillId="0" borderId="10" xfId="0" applyFont="1" applyBorder="1" applyAlignment="1">
      <alignment horizontal="center"/>
    </xf>
    <xf numFmtId="0" fontId="17" fillId="0" borderId="0" xfId="0" applyFont="1" applyBorder="1" applyAlignment="1">
      <alignment horizontal="center"/>
    </xf>
    <xf numFmtId="0" fontId="17" fillId="0" borderId="20" xfId="0" applyFont="1" applyBorder="1" applyAlignment="1">
      <alignment horizontal="center"/>
    </xf>
    <xf numFmtId="0" fontId="17" fillId="0" borderId="5" xfId="0" applyFont="1" applyBorder="1" applyAlignment="1">
      <alignment horizontal="center"/>
    </xf>
    <xf numFmtId="0" fontId="17" fillId="0" borderId="2" xfId="0" applyFont="1" applyBorder="1" applyAlignment="1">
      <alignment horizontal="center"/>
    </xf>
    <xf numFmtId="0" fontId="17" fillId="0" borderId="41" xfId="0" applyFont="1" applyBorder="1" applyAlignment="1">
      <alignment horizontal="center"/>
    </xf>
    <xf numFmtId="165" fontId="29" fillId="0" borderId="19" xfId="0" applyNumberFormat="1" applyFont="1" applyFill="1" applyBorder="1" applyAlignment="1">
      <alignment horizontal="center"/>
    </xf>
    <xf numFmtId="165" fontId="29" fillId="0" borderId="20" xfId="0" applyNumberFormat="1" applyFont="1" applyFill="1" applyBorder="1" applyAlignment="1">
      <alignment horizontal="center"/>
    </xf>
    <xf numFmtId="165" fontId="29" fillId="0" borderId="41" xfId="0" applyNumberFormat="1" applyFont="1" applyFill="1" applyBorder="1" applyAlignment="1">
      <alignment horizontal="center"/>
    </xf>
    <xf numFmtId="168" fontId="29" fillId="7" borderId="4" xfId="0" applyNumberFormat="1" applyFont="1" applyFill="1" applyBorder="1" applyAlignment="1">
      <alignment horizontal="center"/>
    </xf>
    <xf numFmtId="168" fontId="29" fillId="7" borderId="11" xfId="0" applyNumberFormat="1" applyFont="1" applyFill="1" applyBorder="1" applyAlignment="1">
      <alignment horizontal="center"/>
    </xf>
    <xf numFmtId="168" fontId="29" fillId="7" borderId="6" xfId="0" applyNumberFormat="1" applyFont="1" applyFill="1" applyBorder="1" applyAlignment="1">
      <alignment horizontal="center"/>
    </xf>
    <xf numFmtId="165" fontId="29" fillId="7" borderId="4" xfId="0" applyNumberFormat="1" applyFont="1" applyFill="1" applyBorder="1" applyAlignment="1">
      <alignment horizontal="center"/>
    </xf>
    <xf numFmtId="165" fontId="29" fillId="7" borderId="11" xfId="0" applyNumberFormat="1" applyFont="1" applyFill="1" applyBorder="1" applyAlignment="1">
      <alignment horizontal="center"/>
    </xf>
    <xf numFmtId="165" fontId="29" fillId="7" borderId="6" xfId="0" applyNumberFormat="1" applyFont="1" applyFill="1" applyBorder="1" applyAlignment="1">
      <alignment horizontal="center"/>
    </xf>
    <xf numFmtId="165" fontId="29" fillId="0" borderId="40" xfId="0" applyNumberFormat="1" applyFont="1" applyFill="1" applyBorder="1" applyAlignment="1">
      <alignment horizontal="center"/>
    </xf>
    <xf numFmtId="0" fontId="17" fillId="0" borderId="0" xfId="0" applyFont="1" applyAlignment="1">
      <alignment horizontal="left"/>
    </xf>
    <xf numFmtId="0" fontId="17" fillId="0" borderId="0" xfId="0" applyFont="1" applyBorder="1" applyAlignment="1">
      <alignment horizontal="left"/>
    </xf>
    <xf numFmtId="0" fontId="26" fillId="0" borderId="11" xfId="0" applyFont="1" applyBorder="1" applyAlignment="1">
      <alignment horizontal="center"/>
    </xf>
    <xf numFmtId="0" fontId="26" fillId="0" borderId="6" xfId="0" applyFont="1" applyBorder="1" applyAlignment="1">
      <alignment horizontal="center"/>
    </xf>
    <xf numFmtId="165" fontId="0" fillId="0" borderId="2" xfId="0" applyNumberFormat="1" applyBorder="1" applyAlignment="1">
      <alignment horizontal="center"/>
    </xf>
    <xf numFmtId="0" fontId="0" fillId="0" borderId="4" xfId="0" applyBorder="1"/>
    <xf numFmtId="0" fontId="0" fillId="0" borderId="11" xfId="0" applyBorder="1"/>
    <xf numFmtId="0" fontId="0" fillId="0" borderId="2" xfId="0" applyBorder="1"/>
    <xf numFmtId="0" fontId="0" fillId="0" borderId="6" xfId="0" applyBorder="1"/>
    <xf numFmtId="0" fontId="29" fillId="0" borderId="5" xfId="0" applyFont="1" applyBorder="1" applyAlignment="1">
      <alignment horizontal="left"/>
    </xf>
    <xf numFmtId="0" fontId="12" fillId="0" borderId="7" xfId="0" applyFont="1" applyBorder="1" applyAlignment="1">
      <alignment horizontal="left"/>
    </xf>
    <xf numFmtId="0" fontId="12" fillId="0" borderId="3" xfId="0" applyFont="1" applyBorder="1" applyAlignment="1">
      <alignment horizontal="left"/>
    </xf>
    <xf numFmtId="3" fontId="0" fillId="5" borderId="8" xfId="0" applyNumberFormat="1" applyFill="1" applyBorder="1" applyAlignment="1">
      <alignment horizontal="center"/>
    </xf>
    <xf numFmtId="3" fontId="0" fillId="5" borderId="0" xfId="0" applyNumberFormat="1" applyFill="1" applyBorder="1" applyAlignment="1">
      <alignment horizontal="center"/>
    </xf>
    <xf numFmtId="3" fontId="0" fillId="6" borderId="8" xfId="0" applyNumberFormat="1" applyFill="1" applyBorder="1" applyAlignment="1">
      <alignment horizontal="center"/>
    </xf>
    <xf numFmtId="3" fontId="0" fillId="6" borderId="0" xfId="0" applyNumberFormat="1" applyFill="1" applyBorder="1" applyAlignment="1">
      <alignment horizontal="center"/>
    </xf>
    <xf numFmtId="0" fontId="0" fillId="18" borderId="0" xfId="0" applyFill="1" applyAlignment="1">
      <alignment horizontal="left"/>
    </xf>
    <xf numFmtId="0" fontId="0" fillId="18" borderId="0" xfId="0" applyFill="1" applyAlignment="1">
      <alignment horizontal="center"/>
    </xf>
    <xf numFmtId="0" fontId="0" fillId="18" borderId="0" xfId="0" applyFill="1"/>
    <xf numFmtId="0" fontId="0" fillId="7" borderId="0" xfId="0" applyFill="1" applyAlignment="1">
      <alignment horizontal="center"/>
    </xf>
    <xf numFmtId="0" fontId="110" fillId="0" borderId="0" xfId="0" applyFont="1"/>
    <xf numFmtId="0" fontId="106" fillId="0" borderId="0" xfId="23" applyFont="1" applyAlignment="1"/>
    <xf numFmtId="0" fontId="111" fillId="0" borderId="0" xfId="0" applyFont="1" applyAlignment="1">
      <alignment horizontal="left"/>
    </xf>
    <xf numFmtId="0" fontId="0" fillId="4" borderId="7"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0" borderId="7" xfId="1" applyFont="1" applyFill="1" applyBorder="1" applyAlignment="1">
      <alignment horizontal="center" vertical="center" wrapText="1"/>
    </xf>
    <xf numFmtId="0" fontId="1" fillId="0" borderId="9" xfId="1" applyFont="1" applyFill="1" applyBorder="1" applyAlignment="1">
      <alignment horizontal="center" vertical="center" wrapText="1"/>
    </xf>
    <xf numFmtId="0" fontId="0" fillId="5" borderId="4"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0" fillId="5" borderId="7" xfId="0" applyFont="1" applyFill="1" applyBorder="1" applyAlignment="1">
      <alignment horizontal="center" vertical="center" wrapText="1"/>
    </xf>
    <xf numFmtId="0" fontId="0" fillId="5" borderId="9" xfId="0" applyFont="1" applyFill="1" applyBorder="1" applyAlignment="1">
      <alignment horizontal="center" vertical="center" wrapText="1"/>
    </xf>
    <xf numFmtId="0" fontId="0" fillId="5" borderId="2" xfId="0" applyFill="1" applyBorder="1" applyAlignment="1">
      <alignment horizontal="center"/>
    </xf>
    <xf numFmtId="1" fontId="0" fillId="6" borderId="2" xfId="0" applyNumberFormat="1" applyFill="1" applyBorder="1" applyAlignment="1">
      <alignment horizontal="center"/>
    </xf>
    <xf numFmtId="0" fontId="0" fillId="6" borderId="7" xfId="0" applyFont="1" applyFill="1" applyBorder="1" applyAlignment="1">
      <alignment horizontal="center" vertical="center" wrapText="1"/>
    </xf>
    <xf numFmtId="0" fontId="0" fillId="6" borderId="9" xfId="0" applyFont="1" applyFill="1" applyBorder="1" applyAlignment="1">
      <alignment horizontal="center" vertical="center" wrapText="1"/>
    </xf>
    <xf numFmtId="0" fontId="0" fillId="6" borderId="2" xfId="0" applyFill="1" applyBorder="1" applyAlignment="1">
      <alignment horizont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26" fillId="4" borderId="4" xfId="0" applyFont="1" applyFill="1" applyBorder="1" applyAlignment="1">
      <alignment horizontal="center" vertical="center" wrapText="1"/>
    </xf>
    <xf numFmtId="0" fontId="26" fillId="4" borderId="6" xfId="0" applyFont="1" applyFill="1" applyBorder="1" applyAlignment="1">
      <alignment horizontal="center" vertical="center" wrapText="1"/>
    </xf>
    <xf numFmtId="164" fontId="0" fillId="0" borderId="3" xfId="0" applyNumberFormat="1" applyBorder="1" applyAlignment="1">
      <alignment horizontal="center" vertical="center" wrapText="1"/>
    </xf>
    <xf numFmtId="164" fontId="0" fillId="0" borderId="5" xfId="0" applyNumberFormat="1" applyBorder="1" applyAlignment="1">
      <alignment horizontal="center" vertical="center" wrapText="1"/>
    </xf>
    <xf numFmtId="164" fontId="0" fillId="0" borderId="1" xfId="0" applyNumberFormat="1" applyBorder="1" applyAlignment="1">
      <alignment horizontal="center" vertical="center" wrapText="1"/>
    </xf>
    <xf numFmtId="164" fontId="0" fillId="0" borderId="2" xfId="0" applyNumberFormat="1"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1" fillId="0" borderId="7" xfId="0" applyFont="1" applyBorder="1" applyAlignment="1">
      <alignment horizontal="center" vertical="center" wrapText="1"/>
    </xf>
    <xf numFmtId="0" fontId="21" fillId="0" borderId="9" xfId="0" applyFont="1" applyBorder="1" applyAlignment="1">
      <alignment horizontal="center" vertical="center" wrapText="1"/>
    </xf>
    <xf numFmtId="0" fontId="0" fillId="4" borderId="17" xfId="0" applyFill="1" applyBorder="1" applyAlignment="1">
      <alignment horizontal="center" vertical="center" wrapText="1"/>
    </xf>
    <xf numFmtId="0" fontId="0" fillId="4" borderId="18" xfId="0" applyFill="1" applyBorder="1" applyAlignment="1">
      <alignment horizontal="center" vertical="center" wrapText="1"/>
    </xf>
    <xf numFmtId="0" fontId="17" fillId="0" borderId="7" xfId="1" applyFont="1" applyFill="1" applyBorder="1" applyAlignment="1">
      <alignment horizontal="center" vertical="center" wrapText="1"/>
    </xf>
    <xf numFmtId="0" fontId="17" fillId="0" borderId="9" xfId="1" applyFont="1" applyFill="1" applyBorder="1" applyAlignment="1">
      <alignment horizontal="center" vertical="center" wrapText="1"/>
    </xf>
    <xf numFmtId="0" fontId="21" fillId="0" borderId="3" xfId="0" applyFont="1" applyBorder="1" applyAlignment="1">
      <alignment horizontal="center" vertical="center" wrapText="1"/>
    </xf>
    <xf numFmtId="0" fontId="21" fillId="0" borderId="5"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4" borderId="1" xfId="0" applyFill="1" applyBorder="1" applyAlignment="1">
      <alignment horizontal="center" vertical="center" wrapText="1"/>
    </xf>
    <xf numFmtId="0" fontId="0" fillId="4" borderId="2" xfId="0" applyFill="1" applyBorder="1" applyAlignment="1">
      <alignment horizontal="center" vertical="center" wrapText="1"/>
    </xf>
    <xf numFmtId="49" fontId="0" fillId="4" borderId="4" xfId="0" applyNumberFormat="1" applyFill="1" applyBorder="1" applyAlignment="1">
      <alignment horizontal="center" vertical="center" wrapText="1"/>
    </xf>
    <xf numFmtId="49" fontId="0" fillId="4" borderId="6" xfId="0" applyNumberFormat="1"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49" fontId="0" fillId="4" borderId="3" xfId="0" applyNumberFormat="1" applyFill="1" applyBorder="1" applyAlignment="1">
      <alignment horizontal="center" vertical="center" wrapText="1"/>
    </xf>
    <xf numFmtId="49" fontId="0" fillId="4" borderId="5" xfId="0" applyNumberFormat="1" applyFill="1" applyBorder="1" applyAlignment="1">
      <alignment horizontal="center" vertical="center" wrapText="1"/>
    </xf>
    <xf numFmtId="0" fontId="21" fillId="4" borderId="36" xfId="0" applyFont="1" applyFill="1" applyBorder="1" applyAlignment="1">
      <alignment horizontal="center" vertical="center" wrapText="1"/>
    </xf>
    <xf numFmtId="0" fontId="21" fillId="4" borderId="38" xfId="0" applyFont="1" applyFill="1" applyBorder="1" applyAlignment="1">
      <alignment horizontal="center" vertical="center" wrapText="1"/>
    </xf>
    <xf numFmtId="0" fontId="21" fillId="4" borderId="34" xfId="0" applyFont="1" applyFill="1" applyBorder="1" applyAlignment="1">
      <alignment horizontal="center" vertical="center" wrapText="1"/>
    </xf>
    <xf numFmtId="0" fontId="21" fillId="4" borderId="33"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0" fillId="4"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9" xfId="0" applyFont="1" applyFill="1" applyBorder="1" applyAlignment="1">
      <alignment horizontal="center" vertical="center" wrapText="1"/>
    </xf>
  </cellXfs>
  <cellStyles count="36">
    <cellStyle name="Bueno" xfId="1" builtinId="26"/>
    <cellStyle name="Euro" xfId="3"/>
    <cellStyle name="Euro 2" xfId="35"/>
    <cellStyle name="Excel Built-in Normal" xfId="4"/>
    <cellStyle name="Hipervínculo" xfId="24" builtinId="8"/>
    <cellStyle name="Incorrecto" xfId="2" builtinId="27"/>
    <cellStyle name="Millares 2" xfId="30"/>
    <cellStyle name="Normal" xfId="0" builtinId="0"/>
    <cellStyle name="Normal 10" xfId="5"/>
    <cellStyle name="Normal 11" xfId="25"/>
    <cellStyle name="Normal 12" xfId="28"/>
    <cellStyle name="Normal 13" xfId="32"/>
    <cellStyle name="Normal 18" xfId="29"/>
    <cellStyle name="Normal 2" xfId="6"/>
    <cellStyle name="Normál 2" xfId="7"/>
    <cellStyle name="Normal 2 2" xfId="33"/>
    <cellStyle name="Normál 2 2" xfId="8"/>
    <cellStyle name="Normál 2 3" xfId="9"/>
    <cellStyle name="Normal 3" xfId="10"/>
    <cellStyle name="Normál 3" xfId="11"/>
    <cellStyle name="Normal 3 2" xfId="34"/>
    <cellStyle name="Normál 3 2" xfId="12"/>
    <cellStyle name="Normal 4" xfId="13"/>
    <cellStyle name="Normal 5" xfId="14"/>
    <cellStyle name="Normal 6" xfId="15"/>
    <cellStyle name="Normal 7" xfId="16"/>
    <cellStyle name="Normal 8" xfId="17"/>
    <cellStyle name="Normal 9" xfId="18"/>
    <cellStyle name="Personal" xfId="27"/>
    <cellStyle name="Porcentaje 2" xfId="19"/>
    <cellStyle name="Reviewed2021" xfId="26"/>
    <cellStyle name="Standard 2" xfId="20"/>
    <cellStyle name="Standard 2 2" xfId="21"/>
    <cellStyle name="Standard_B 6n" xfId="22"/>
    <cellStyle name="Százalék 2" xfId="23"/>
    <cellStyle name="TableStyleLight1" xfId="31"/>
  </cellStyles>
  <dxfs count="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6EFCE"/>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3" Type="http://schemas.openxmlformats.org/officeDocument/2006/relationships/hyperlink" Target="https://doi.org/10.1038/nature14317" TargetMode="External"/><Relationship Id="rId18" Type="http://schemas.openxmlformats.org/officeDocument/2006/relationships/hyperlink" Target="https://doi.org/10.1038/nature19310" TargetMode="External"/><Relationship Id="rId26" Type="http://schemas.openxmlformats.org/officeDocument/2006/relationships/hyperlink" Target="https://doi.org/10.1038/nature12736" TargetMode="External"/><Relationship Id="rId39" Type="http://schemas.openxmlformats.org/officeDocument/2006/relationships/hyperlink" Target="https://doi.org/10.1016/j.cub.2009.09.017" TargetMode="External"/><Relationship Id="rId21" Type="http://schemas.openxmlformats.org/officeDocument/2006/relationships/hyperlink" Target="https://doi.org/10.1038/nature25778" TargetMode="External"/><Relationship Id="rId34" Type="http://schemas.openxmlformats.org/officeDocument/2006/relationships/hyperlink" Target="https://doi.org/10.1016/j.cell.2020.04.037" TargetMode="External"/><Relationship Id="rId42" Type="http://schemas.openxmlformats.org/officeDocument/2006/relationships/hyperlink" Target="https://doi.org/10.1016/j.cub.2019.02.006" TargetMode="External"/><Relationship Id="rId47" Type="http://schemas.openxmlformats.org/officeDocument/2006/relationships/hyperlink" Target="http://nbn-resolving.de/urn:nbn:de:hebis:77-diss-1000034808" TargetMode="External"/><Relationship Id="rId50" Type="http://schemas.openxmlformats.org/officeDocument/2006/relationships/hyperlink" Target="https://openscience.ub.uni-mainz.de/handle/20.500.12030/2834" TargetMode="External"/><Relationship Id="rId7" Type="http://schemas.openxmlformats.org/officeDocument/2006/relationships/hyperlink" Target="https://doi.org/10.1186/s12862-017-0924-0" TargetMode="External"/><Relationship Id="rId2" Type="http://schemas.openxmlformats.org/officeDocument/2006/relationships/hyperlink" Target="https://doi.org/10.1126/science.1245049" TargetMode="External"/><Relationship Id="rId16" Type="http://schemas.openxmlformats.org/officeDocument/2006/relationships/hyperlink" Target="https://doi.org/10.1038/s41586-020-2259-z" TargetMode="External"/><Relationship Id="rId29" Type="http://schemas.openxmlformats.org/officeDocument/2006/relationships/hyperlink" Target="https://doi.org/10.1098/rspb.2015.0339" TargetMode="External"/><Relationship Id="rId11" Type="http://schemas.openxmlformats.org/officeDocument/2006/relationships/hyperlink" Target="https://doi.org/10.1016/j.cub.2017.05.023" TargetMode="External"/><Relationship Id="rId24" Type="http://schemas.openxmlformats.org/officeDocument/2006/relationships/hyperlink" Target="https://doi.org/10.1126/science.aav4040" TargetMode="External"/><Relationship Id="rId32" Type="http://schemas.openxmlformats.org/officeDocument/2006/relationships/hyperlink" Target="https://doi.org/10.1038/s42003-020-01372-8" TargetMode="External"/><Relationship Id="rId37" Type="http://schemas.openxmlformats.org/officeDocument/2006/relationships/hyperlink" Target="https://doi.org/10.1016/j.cub.2017.06.022" TargetMode="External"/><Relationship Id="rId40" Type="http://schemas.openxmlformats.org/officeDocument/2006/relationships/hyperlink" Target="https://doi.org/10.1016/j.cub.2016.12.060" TargetMode="External"/><Relationship Id="rId45" Type="http://schemas.openxmlformats.org/officeDocument/2006/relationships/hyperlink" Target="https://doi.org/10.1038/ncomms9912" TargetMode="External"/><Relationship Id="rId5" Type="http://schemas.openxmlformats.org/officeDocument/2006/relationships/hyperlink" Target="https://doi.org/10.1073/pnas.1918034117" TargetMode="External"/><Relationship Id="rId15" Type="http://schemas.openxmlformats.org/officeDocument/2006/relationships/hyperlink" Target="https://doi.org/10.1371/journal.pone.0034417" TargetMode="External"/><Relationship Id="rId23" Type="http://schemas.openxmlformats.org/officeDocument/2006/relationships/hyperlink" Target="https://dx.doi.org/10.1126%2Fscience.aat7487" TargetMode="External"/><Relationship Id="rId28" Type="http://schemas.openxmlformats.org/officeDocument/2006/relationships/hyperlink" Target="https://doi.org/10.1038/s41586-019-1279-z" TargetMode="External"/><Relationship Id="rId36" Type="http://schemas.openxmlformats.org/officeDocument/2006/relationships/hyperlink" Target="https://doi.org/10.1038/s41467-018-02825-9" TargetMode="External"/><Relationship Id="rId49" Type="http://schemas.openxmlformats.org/officeDocument/2006/relationships/hyperlink" Target="http://thesesups.ups-tlse.fr/1392/" TargetMode="External"/><Relationship Id="rId10" Type="http://schemas.openxmlformats.org/officeDocument/2006/relationships/hyperlink" Target="https://doi.org/10.1101/2021.01.08.425895" TargetMode="External"/><Relationship Id="rId19" Type="http://schemas.openxmlformats.org/officeDocument/2006/relationships/hyperlink" Target="https://doi.org/10.1016/j.jasrep.2016.06.001" TargetMode="External"/><Relationship Id="rId31" Type="http://schemas.openxmlformats.org/officeDocument/2006/relationships/hyperlink" Target="https://doi.org/10.7485/QU62_6" TargetMode="External"/><Relationship Id="rId44" Type="http://schemas.openxmlformats.org/officeDocument/2006/relationships/hyperlink" Target="https://doi.org/10.1038/s41467-019-13549-9" TargetMode="External"/><Relationship Id="rId4" Type="http://schemas.openxmlformats.org/officeDocument/2006/relationships/hyperlink" Target="https://doi.org/10.1126/science.1176869" TargetMode="External"/><Relationship Id="rId9" Type="http://schemas.openxmlformats.org/officeDocument/2006/relationships/hyperlink" Target="https://doi.org/10.1038/s41467-020-15560-x" TargetMode="External"/><Relationship Id="rId14" Type="http://schemas.openxmlformats.org/officeDocument/2006/relationships/hyperlink" Target="https://doi.org/10.1080/21662282.2017.1381418" TargetMode="External"/><Relationship Id="rId22" Type="http://schemas.openxmlformats.org/officeDocument/2006/relationships/hyperlink" Target="https://doi.org/10.1038/srep42869" TargetMode="External"/><Relationship Id="rId27" Type="http://schemas.openxmlformats.org/officeDocument/2006/relationships/hyperlink" Target="https://doi.org/10.1126/sciadv.abd6535" TargetMode="External"/><Relationship Id="rId30" Type="http://schemas.openxmlformats.org/officeDocument/2006/relationships/hyperlink" Target="https://doi.org/10.1038/s41598-017-15480-9" TargetMode="External"/><Relationship Id="rId35" Type="http://schemas.openxmlformats.org/officeDocument/2006/relationships/hyperlink" Target="https://doi.org/10.1371/journal.pgen.1003296" TargetMode="External"/><Relationship Id="rId43" Type="http://schemas.openxmlformats.org/officeDocument/2006/relationships/hyperlink" Target="https://doi.org/10.1038/ncomms6257" TargetMode="External"/><Relationship Id="rId48" Type="http://schemas.openxmlformats.org/officeDocument/2006/relationships/hyperlink" Target="http://hdl.handle.net/2445/35896" TargetMode="External"/><Relationship Id="rId8" Type="http://schemas.openxmlformats.org/officeDocument/2006/relationships/hyperlink" Target="https://doi.org/10.1016/j.cub.2013.02.044" TargetMode="External"/><Relationship Id="rId51" Type="http://schemas.openxmlformats.org/officeDocument/2006/relationships/printerSettings" Target="../printerSettings/printerSettings9.bin"/><Relationship Id="rId3" Type="http://schemas.openxmlformats.org/officeDocument/2006/relationships/hyperlink" Target="https://doi.org/10.1101/2020.08.10.241430" TargetMode="External"/><Relationship Id="rId12" Type="http://schemas.openxmlformats.org/officeDocument/2006/relationships/hyperlink" Target="https://doi.org/10.1371/journal.pbio.2003703" TargetMode="External"/><Relationship Id="rId17" Type="http://schemas.openxmlformats.org/officeDocument/2006/relationships/hyperlink" Target="https://doi.org/10.1126/sciadv.abc4587" TargetMode="External"/><Relationship Id="rId25" Type="http://schemas.openxmlformats.org/officeDocument/2006/relationships/hyperlink" Target="https://doi.org/10.1016/j.cub.2016.01.037" TargetMode="External"/><Relationship Id="rId33" Type="http://schemas.openxmlformats.org/officeDocument/2006/relationships/hyperlink" Target="https://doi.org/10.1016/j.cub.2019.02.006" TargetMode="External"/><Relationship Id="rId38" Type="http://schemas.openxmlformats.org/officeDocument/2006/relationships/hyperlink" Target="https://doi.org/10.1098/rstb.2013.0373" TargetMode="External"/><Relationship Id="rId46" Type="http://schemas.openxmlformats.org/officeDocument/2006/relationships/hyperlink" Target="https://openscience.ub.uni-mainz.de/handle/20.500.12030/863" TargetMode="External"/><Relationship Id="rId20" Type="http://schemas.openxmlformats.org/officeDocument/2006/relationships/hyperlink" Target="https://doi.org/10.1101/2020.11.23.394502" TargetMode="External"/><Relationship Id="rId41" Type="http://schemas.openxmlformats.org/officeDocument/2006/relationships/hyperlink" Target="https://doi.org/10.1016/j.cub.2017.06.022" TargetMode="External"/><Relationship Id="rId1" Type="http://schemas.openxmlformats.org/officeDocument/2006/relationships/hyperlink" Target="https://doi.org/10.1126/science.aay6826" TargetMode="External"/><Relationship Id="rId6" Type="http://schemas.openxmlformats.org/officeDocument/2006/relationships/hyperlink" Target="https://doi.org/10.1038/s41586-020-2378-6"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34"/>
  <sheetViews>
    <sheetView tabSelected="1" zoomScaleNormal="100" workbookViewId="0">
      <pane ySplit="3" topLeftCell="A386" activePane="bottomLeft" state="frozen"/>
      <selection activeCell="E1" sqref="E1"/>
      <selection pane="bottomLeft" activeCell="M402" sqref="M402"/>
    </sheetView>
  </sheetViews>
  <sheetFormatPr baseColWidth="10" defaultColWidth="11.42578125" defaultRowHeight="15" x14ac:dyDescent="0.25"/>
  <cols>
    <col min="1" max="1" width="16.42578125" style="87" customWidth="1"/>
    <col min="2" max="2" width="10" style="238" customWidth="1"/>
    <col min="3" max="3" width="7.85546875" style="215" customWidth="1"/>
    <col min="4" max="4" width="5.85546875" style="41" customWidth="1"/>
    <col min="5" max="5" width="6.28515625" style="41" customWidth="1"/>
    <col min="6" max="6" width="7.7109375" style="116" customWidth="1"/>
    <col min="7" max="7" width="7.42578125" style="27" customWidth="1"/>
    <col min="8" max="8" width="7.42578125" style="112" customWidth="1"/>
    <col min="9" max="9" width="11.5703125" style="40" customWidth="1"/>
    <col min="10" max="10" width="12.140625" style="40" customWidth="1"/>
    <col min="11" max="11" width="8.85546875" style="194" customWidth="1"/>
    <col min="12" max="12" width="4" style="17" customWidth="1"/>
    <col min="13" max="13" width="7.28515625" style="108" customWidth="1"/>
    <col min="14" max="14" width="6.140625" style="230" customWidth="1"/>
    <col min="15" max="15" width="14.7109375" style="206" customWidth="1"/>
  </cols>
  <sheetData>
    <row r="1" spans="1:18" x14ac:dyDescent="0.25">
      <c r="B1" s="367"/>
      <c r="C1" s="368"/>
      <c r="E1" s="17"/>
      <c r="F1" s="118"/>
      <c r="G1" s="17"/>
      <c r="N1" s="354"/>
      <c r="O1" s="61"/>
    </row>
    <row r="2" spans="1:18" ht="17.25" customHeight="1" x14ac:dyDescent="0.35">
      <c r="A2" s="506" t="s">
        <v>4693</v>
      </c>
      <c r="B2" s="367"/>
      <c r="C2" s="368"/>
      <c r="E2" s="17"/>
      <c r="F2" s="118"/>
      <c r="G2" s="17"/>
      <c r="N2" s="354"/>
      <c r="O2" s="61"/>
    </row>
    <row r="3" spans="1:18" x14ac:dyDescent="0.25">
      <c r="A3" s="328" t="s">
        <v>4680</v>
      </c>
      <c r="F3" s="118"/>
      <c r="N3" s="354"/>
      <c r="O3" s="61"/>
    </row>
    <row r="4" spans="1:18" x14ac:dyDescent="0.25">
      <c r="A4" s="328"/>
      <c r="B4" s="367"/>
      <c r="C4" s="368"/>
      <c r="F4" s="118"/>
      <c r="N4" s="354"/>
      <c r="O4" s="61"/>
    </row>
    <row r="5" spans="1:18" x14ac:dyDescent="0.25">
      <c r="A5" s="727" t="s">
        <v>4559</v>
      </c>
      <c r="B5" s="728"/>
      <c r="C5" s="729"/>
      <c r="D5" s="682"/>
      <c r="E5" s="682"/>
      <c r="F5" s="730"/>
      <c r="G5" s="731"/>
      <c r="H5" s="732"/>
      <c r="I5" s="733"/>
      <c r="J5" s="733"/>
      <c r="K5" s="734"/>
      <c r="L5" s="735"/>
      <c r="M5" s="736"/>
      <c r="N5" s="737"/>
      <c r="O5" s="738"/>
      <c r="P5" s="111"/>
      <c r="Q5" s="111"/>
      <c r="R5" s="111"/>
    </row>
    <row r="6" spans="1:18" s="338" customFormat="1" ht="13.15" customHeight="1" x14ac:dyDescent="0.35">
      <c r="B6" s="335"/>
      <c r="C6" s="336"/>
      <c r="D6" s="350"/>
      <c r="E6" s="350"/>
      <c r="F6" s="351"/>
      <c r="G6" s="352"/>
      <c r="H6" s="336"/>
      <c r="I6" s="335"/>
      <c r="J6" s="335"/>
      <c r="K6" s="353"/>
      <c r="L6" s="336"/>
      <c r="M6" s="335"/>
      <c r="N6" s="337"/>
    </row>
    <row r="7" spans="1:18" ht="31.5" x14ac:dyDescent="0.5">
      <c r="A7" s="401" t="s">
        <v>4240</v>
      </c>
      <c r="B7" s="367"/>
      <c r="C7" s="368"/>
      <c r="D7" s="8"/>
      <c r="E7" s="8"/>
      <c r="F7" s="117"/>
      <c r="G7" s="8"/>
      <c r="N7" s="354"/>
      <c r="O7" s="325"/>
    </row>
    <row r="8" spans="1:18" ht="14.45" customHeight="1" x14ac:dyDescent="0.5">
      <c r="A8" s="401"/>
      <c r="B8" s="367"/>
      <c r="C8" s="368"/>
      <c r="D8" s="8"/>
      <c r="E8" s="8"/>
      <c r="F8" s="117"/>
      <c r="G8" s="8"/>
      <c r="N8" s="354"/>
      <c r="O8" s="325"/>
    </row>
    <row r="9" spans="1:18" ht="14.45" customHeight="1" x14ac:dyDescent="0.25">
      <c r="A9" s="665" t="s">
        <v>4236</v>
      </c>
      <c r="B9" s="799"/>
      <c r="C9" s="800"/>
      <c r="D9" s="801"/>
      <c r="E9" s="8"/>
      <c r="F9" s="117"/>
      <c r="G9" s="8"/>
      <c r="N9" s="354"/>
      <c r="O9" s="325"/>
    </row>
    <row r="10" spans="1:18" s="100" customFormat="1" ht="32.450000000000003" customHeight="1" x14ac:dyDescent="0.25">
      <c r="A10" s="507" t="s">
        <v>4291</v>
      </c>
      <c r="B10" s="508" t="s">
        <v>1247</v>
      </c>
      <c r="C10" s="509" t="s">
        <v>0</v>
      </c>
      <c r="D10" s="510" t="s">
        <v>969</v>
      </c>
      <c r="E10" s="510" t="s">
        <v>2323</v>
      </c>
      <c r="F10" s="510" t="s">
        <v>398</v>
      </c>
      <c r="G10" s="511" t="s">
        <v>399</v>
      </c>
      <c r="H10" s="512" t="s">
        <v>400</v>
      </c>
      <c r="I10" s="101" t="s">
        <v>2322</v>
      </c>
      <c r="J10" s="589" t="s">
        <v>3927</v>
      </c>
      <c r="K10" s="590" t="s">
        <v>3250</v>
      </c>
      <c r="L10" s="591" t="s">
        <v>1</v>
      </c>
      <c r="M10" s="590" t="s">
        <v>3486</v>
      </c>
      <c r="N10" s="640" t="s">
        <v>3487</v>
      </c>
      <c r="O10" s="339" t="s">
        <v>2324</v>
      </c>
    </row>
    <row r="11" spans="1:18" s="45" customFormat="1" x14ac:dyDescent="0.25">
      <c r="A11" s="107" t="s">
        <v>4108</v>
      </c>
      <c r="B11" s="345" t="s">
        <v>295</v>
      </c>
      <c r="C11" s="252" t="s">
        <v>4200</v>
      </c>
      <c r="D11" s="41">
        <v>36.41666</v>
      </c>
      <c r="E11" s="41">
        <v>38.16666</v>
      </c>
      <c r="F11" s="118">
        <f t="shared" ref="F11:F20" si="0">AVERAGE(G11:H11)</f>
        <v>7400</v>
      </c>
      <c r="G11" s="27">
        <v>7500</v>
      </c>
      <c r="H11" s="112">
        <v>7300</v>
      </c>
      <c r="I11" s="97" t="s">
        <v>8</v>
      </c>
      <c r="J11" s="40" t="s">
        <v>69</v>
      </c>
      <c r="K11" s="194" t="s">
        <v>4167</v>
      </c>
      <c r="L11" s="17" t="s">
        <v>69</v>
      </c>
      <c r="M11" s="108" t="s">
        <v>297</v>
      </c>
      <c r="N11" s="230"/>
      <c r="O11" s="205"/>
    </row>
    <row r="12" spans="1:18" s="45" customFormat="1" ht="15.75" thickBot="1" x14ac:dyDescent="0.3">
      <c r="A12" s="107" t="s">
        <v>375</v>
      </c>
      <c r="B12" s="345" t="s">
        <v>295</v>
      </c>
      <c r="C12" s="252" t="s">
        <v>4200</v>
      </c>
      <c r="D12" s="41">
        <v>36.41666</v>
      </c>
      <c r="E12" s="41">
        <v>38.16666</v>
      </c>
      <c r="F12" s="118">
        <f t="shared" si="0"/>
        <v>7400</v>
      </c>
      <c r="G12" s="27">
        <v>7500</v>
      </c>
      <c r="H12" s="112">
        <v>7300</v>
      </c>
      <c r="I12" s="97" t="s">
        <v>32</v>
      </c>
      <c r="J12" s="40" t="s">
        <v>69</v>
      </c>
      <c r="K12" s="194" t="s">
        <v>296</v>
      </c>
      <c r="L12" s="17" t="s">
        <v>69</v>
      </c>
      <c r="M12" s="108" t="s">
        <v>298</v>
      </c>
      <c r="N12" s="230"/>
      <c r="O12" s="205"/>
    </row>
    <row r="13" spans="1:18" s="45" customFormat="1" ht="15.75" thickBot="1" x14ac:dyDescent="0.3">
      <c r="A13" s="107" t="s">
        <v>375</v>
      </c>
      <c r="B13" s="345" t="s">
        <v>295</v>
      </c>
      <c r="C13" s="252" t="s">
        <v>4200</v>
      </c>
      <c r="D13" s="41">
        <v>36.41666</v>
      </c>
      <c r="E13" s="41">
        <v>38.16666</v>
      </c>
      <c r="F13" s="118">
        <f t="shared" si="0"/>
        <v>7400</v>
      </c>
      <c r="G13" s="27">
        <v>7500</v>
      </c>
      <c r="H13" s="112">
        <v>7300</v>
      </c>
      <c r="I13" s="174" t="s">
        <v>43</v>
      </c>
      <c r="J13" s="40" t="s">
        <v>69</v>
      </c>
      <c r="K13" s="194" t="s">
        <v>296</v>
      </c>
      <c r="L13" s="17" t="s">
        <v>69</v>
      </c>
      <c r="M13" s="108" t="s">
        <v>299</v>
      </c>
      <c r="N13" s="230"/>
      <c r="O13" s="205"/>
    </row>
    <row r="14" spans="1:18" s="45" customFormat="1" ht="15.75" thickBot="1" x14ac:dyDescent="0.3">
      <c r="A14" s="107" t="s">
        <v>375</v>
      </c>
      <c r="B14" s="345" t="s">
        <v>295</v>
      </c>
      <c r="C14" s="252" t="s">
        <v>4200</v>
      </c>
      <c r="D14" s="41">
        <v>36.41666</v>
      </c>
      <c r="E14" s="41">
        <v>38.16666</v>
      </c>
      <c r="F14" s="118">
        <f t="shared" si="0"/>
        <v>7400</v>
      </c>
      <c r="G14" s="27">
        <v>7500</v>
      </c>
      <c r="H14" s="112">
        <v>7300</v>
      </c>
      <c r="I14" s="174" t="s">
        <v>43</v>
      </c>
      <c r="J14" s="40" t="s">
        <v>69</v>
      </c>
      <c r="K14" s="194" t="s">
        <v>296</v>
      </c>
      <c r="L14" s="17" t="s">
        <v>14</v>
      </c>
      <c r="M14" s="108" t="s">
        <v>300</v>
      </c>
      <c r="N14" s="230"/>
      <c r="O14" s="205"/>
    </row>
    <row r="15" spans="1:18" s="45" customFormat="1" ht="15.75" thickBot="1" x14ac:dyDescent="0.3">
      <c r="A15" s="107" t="s">
        <v>375</v>
      </c>
      <c r="B15" s="345" t="s">
        <v>295</v>
      </c>
      <c r="C15" s="252" t="s">
        <v>4200</v>
      </c>
      <c r="D15" s="41">
        <v>36.41666</v>
      </c>
      <c r="E15" s="41">
        <v>38.16666</v>
      </c>
      <c r="F15" s="118">
        <f t="shared" si="0"/>
        <v>7400</v>
      </c>
      <c r="G15" s="27">
        <v>7500</v>
      </c>
      <c r="H15" s="112">
        <v>7300</v>
      </c>
      <c r="I15" s="174" t="s">
        <v>43</v>
      </c>
      <c r="J15" s="40" t="s">
        <v>69</v>
      </c>
      <c r="K15" s="194" t="s">
        <v>296</v>
      </c>
      <c r="L15" s="17" t="s">
        <v>2</v>
      </c>
      <c r="M15" s="108" t="s">
        <v>301</v>
      </c>
      <c r="N15" s="230"/>
      <c r="O15" s="205"/>
    </row>
    <row r="16" spans="1:18" s="45" customFormat="1" x14ac:dyDescent="0.25">
      <c r="A16" s="107" t="s">
        <v>375</v>
      </c>
      <c r="B16" s="345" t="s">
        <v>295</v>
      </c>
      <c r="C16" s="252" t="s">
        <v>4200</v>
      </c>
      <c r="D16" s="41">
        <v>36.41666</v>
      </c>
      <c r="E16" s="41">
        <v>38.16666</v>
      </c>
      <c r="F16" s="118">
        <f t="shared" si="0"/>
        <v>7400</v>
      </c>
      <c r="G16" s="27">
        <v>7500</v>
      </c>
      <c r="H16" s="112">
        <v>7300</v>
      </c>
      <c r="I16" s="97" t="s">
        <v>18</v>
      </c>
      <c r="J16" s="40" t="s">
        <v>69</v>
      </c>
      <c r="K16" s="194" t="s">
        <v>296</v>
      </c>
      <c r="L16" s="17" t="s">
        <v>2</v>
      </c>
      <c r="M16" s="108" t="s">
        <v>303</v>
      </c>
      <c r="N16" s="230"/>
      <c r="O16" s="205"/>
    </row>
    <row r="17" spans="1:16" s="45" customFormat="1" x14ac:dyDescent="0.25">
      <c r="A17" s="107" t="s">
        <v>375</v>
      </c>
      <c r="B17" s="345" t="s">
        <v>295</v>
      </c>
      <c r="C17" s="252" t="s">
        <v>4200</v>
      </c>
      <c r="D17" s="41">
        <v>36.41666</v>
      </c>
      <c r="E17" s="41">
        <v>38.16666</v>
      </c>
      <c r="F17" s="118">
        <f t="shared" si="0"/>
        <v>7400</v>
      </c>
      <c r="G17" s="27">
        <v>7500</v>
      </c>
      <c r="H17" s="112">
        <v>7300</v>
      </c>
      <c r="I17" s="97" t="s">
        <v>18</v>
      </c>
      <c r="J17" s="40" t="s">
        <v>69</v>
      </c>
      <c r="K17" s="194" t="s">
        <v>296</v>
      </c>
      <c r="L17" s="17" t="s">
        <v>14</v>
      </c>
      <c r="M17" s="108" t="s">
        <v>304</v>
      </c>
      <c r="N17" s="230"/>
      <c r="O17" s="205"/>
    </row>
    <row r="18" spans="1:16" s="45" customFormat="1" x14ac:dyDescent="0.25">
      <c r="A18" s="107" t="s">
        <v>375</v>
      </c>
      <c r="B18" s="345" t="s">
        <v>295</v>
      </c>
      <c r="C18" s="252" t="s">
        <v>4200</v>
      </c>
      <c r="D18" s="41">
        <v>36.41666</v>
      </c>
      <c r="E18" s="41">
        <v>38.16666</v>
      </c>
      <c r="F18" s="118">
        <f t="shared" si="0"/>
        <v>7400</v>
      </c>
      <c r="G18" s="27">
        <v>7500</v>
      </c>
      <c r="H18" s="112">
        <v>7300</v>
      </c>
      <c r="I18" s="97" t="s">
        <v>305</v>
      </c>
      <c r="J18" s="40" t="s">
        <v>69</v>
      </c>
      <c r="K18" s="194" t="s">
        <v>296</v>
      </c>
      <c r="L18" s="17" t="s">
        <v>69</v>
      </c>
      <c r="M18" s="108" t="s">
        <v>3</v>
      </c>
      <c r="N18" s="230"/>
      <c r="O18" s="205"/>
    </row>
    <row r="19" spans="1:16" s="45" customFormat="1" x14ac:dyDescent="0.25">
      <c r="A19" s="107" t="s">
        <v>375</v>
      </c>
      <c r="B19" s="345" t="s">
        <v>295</v>
      </c>
      <c r="C19" s="252" t="s">
        <v>4200</v>
      </c>
      <c r="D19" s="41">
        <v>36.41666</v>
      </c>
      <c r="E19" s="41">
        <v>38.16666</v>
      </c>
      <c r="F19" s="118">
        <f t="shared" si="0"/>
        <v>7400</v>
      </c>
      <c r="G19" s="27">
        <v>7500</v>
      </c>
      <c r="H19" s="112">
        <v>7300</v>
      </c>
      <c r="I19" s="97" t="s">
        <v>306</v>
      </c>
      <c r="J19" s="40" t="s">
        <v>69</v>
      </c>
      <c r="K19" s="194" t="s">
        <v>296</v>
      </c>
      <c r="L19" s="17" t="s">
        <v>69</v>
      </c>
      <c r="M19" s="108" t="s">
        <v>307</v>
      </c>
      <c r="N19" s="230"/>
      <c r="O19" s="205"/>
    </row>
    <row r="20" spans="1:16" s="45" customFormat="1" ht="15.75" thickBot="1" x14ac:dyDescent="0.3">
      <c r="A20" s="107" t="s">
        <v>375</v>
      </c>
      <c r="B20" s="345" t="s">
        <v>295</v>
      </c>
      <c r="C20" s="252" t="s">
        <v>4200</v>
      </c>
      <c r="D20" s="41">
        <v>36.41666</v>
      </c>
      <c r="E20" s="41">
        <v>38.16666</v>
      </c>
      <c r="F20" s="118">
        <f t="shared" si="0"/>
        <v>7400</v>
      </c>
      <c r="G20" s="27">
        <v>7500</v>
      </c>
      <c r="H20" s="112">
        <v>7300</v>
      </c>
      <c r="I20" s="97" t="s">
        <v>170</v>
      </c>
      <c r="J20" s="40" t="s">
        <v>69</v>
      </c>
      <c r="K20" s="194" t="s">
        <v>296</v>
      </c>
      <c r="L20" s="17" t="s">
        <v>2</v>
      </c>
      <c r="M20" s="108" t="s">
        <v>308</v>
      </c>
      <c r="N20" s="230"/>
      <c r="O20" s="205"/>
    </row>
    <row r="21" spans="1:16" ht="15.75" thickBot="1" x14ac:dyDescent="0.3">
      <c r="A21" s="107" t="s">
        <v>4119</v>
      </c>
      <c r="B21" s="345" t="s">
        <v>4109</v>
      </c>
      <c r="C21" s="252" t="s">
        <v>4201</v>
      </c>
      <c r="D21" s="41">
        <v>38.22</v>
      </c>
      <c r="E21" s="41">
        <v>39.729999999999997</v>
      </c>
      <c r="F21" s="116">
        <f>(G21+H21)/2</f>
        <v>7593.5</v>
      </c>
      <c r="G21" s="27">
        <v>7649</v>
      </c>
      <c r="H21" s="112">
        <v>7538</v>
      </c>
      <c r="I21" s="333" t="s">
        <v>6</v>
      </c>
      <c r="J21" s="40" t="s">
        <v>69</v>
      </c>
      <c r="K21" s="194" t="s">
        <v>4169</v>
      </c>
      <c r="L21" s="17" t="s">
        <v>2</v>
      </c>
      <c r="M21" s="108" t="s">
        <v>4118</v>
      </c>
      <c r="O21" s="205"/>
    </row>
    <row r="22" spans="1:16" ht="15.75" thickBot="1" x14ac:dyDescent="0.3">
      <c r="A22" s="107" t="s">
        <v>4107</v>
      </c>
      <c r="B22" s="345" t="s">
        <v>4109</v>
      </c>
      <c r="C22" s="252" t="s">
        <v>4201</v>
      </c>
      <c r="D22" s="41">
        <v>38.22</v>
      </c>
      <c r="E22" s="41">
        <v>39.729999999999997</v>
      </c>
      <c r="F22" s="116">
        <f t="shared" ref="F22:F28" si="1">(G22+H22)/2</f>
        <v>8401</v>
      </c>
      <c r="G22" s="27">
        <v>8496</v>
      </c>
      <c r="H22" s="112">
        <v>8306</v>
      </c>
      <c r="I22" s="178" t="s">
        <v>822</v>
      </c>
      <c r="J22" s="592" t="s">
        <v>1273</v>
      </c>
      <c r="K22" s="194" t="s">
        <v>4120</v>
      </c>
      <c r="L22" s="17" t="s">
        <v>14</v>
      </c>
      <c r="M22" s="108" t="s">
        <v>4112</v>
      </c>
      <c r="O22" s="205"/>
    </row>
    <row r="23" spans="1:16" ht="15.75" thickBot="1" x14ac:dyDescent="0.3">
      <c r="A23" s="107" t="s">
        <v>4107</v>
      </c>
      <c r="B23" s="345" t="s">
        <v>4109</v>
      </c>
      <c r="C23" s="252" t="s">
        <v>4201</v>
      </c>
      <c r="D23" s="41">
        <v>38.22</v>
      </c>
      <c r="E23" s="41">
        <v>39.729999999999997</v>
      </c>
      <c r="F23" s="116">
        <f t="shared" si="1"/>
        <v>7720</v>
      </c>
      <c r="G23" s="27">
        <v>7842</v>
      </c>
      <c r="H23" s="112">
        <v>7598</v>
      </c>
      <c r="I23" s="334" t="s">
        <v>4111</v>
      </c>
      <c r="J23" s="40" t="s">
        <v>69</v>
      </c>
      <c r="K23" s="194" t="s">
        <v>302</v>
      </c>
      <c r="L23" s="17" t="s">
        <v>2</v>
      </c>
      <c r="M23" s="108" t="s">
        <v>4113</v>
      </c>
      <c r="O23" s="205"/>
    </row>
    <row r="24" spans="1:16" ht="15.75" thickBot="1" x14ac:dyDescent="0.3">
      <c r="A24" s="107" t="s">
        <v>4107</v>
      </c>
      <c r="B24" s="345" t="s">
        <v>4109</v>
      </c>
      <c r="C24" s="252" t="s">
        <v>4201</v>
      </c>
      <c r="D24" s="41">
        <v>38.22</v>
      </c>
      <c r="E24" s="41">
        <v>39.729999999999997</v>
      </c>
      <c r="F24" s="116">
        <f t="shared" si="1"/>
        <v>7744</v>
      </c>
      <c r="G24" s="27">
        <v>7882</v>
      </c>
      <c r="H24" s="112">
        <v>7606</v>
      </c>
      <c r="I24" s="333" t="s">
        <v>641</v>
      </c>
      <c r="J24" s="40" t="s">
        <v>69</v>
      </c>
      <c r="K24" s="194" t="s">
        <v>302</v>
      </c>
      <c r="L24" s="17" t="s">
        <v>2</v>
      </c>
      <c r="M24" s="108" t="s">
        <v>4114</v>
      </c>
      <c r="O24" s="205"/>
    </row>
    <row r="25" spans="1:16" ht="15.75" thickBot="1" x14ac:dyDescent="0.3">
      <c r="A25" s="107" t="s">
        <v>4107</v>
      </c>
      <c r="B25" s="345" t="s">
        <v>4109</v>
      </c>
      <c r="C25" s="252" t="s">
        <v>4201</v>
      </c>
      <c r="D25" s="41">
        <v>38.22</v>
      </c>
      <c r="E25" s="41">
        <v>39.729999999999997</v>
      </c>
      <c r="F25" s="116">
        <f t="shared" si="1"/>
        <v>7744</v>
      </c>
      <c r="G25" s="27">
        <v>7882</v>
      </c>
      <c r="H25" s="112">
        <v>7606</v>
      </c>
      <c r="I25" s="333" t="s">
        <v>2920</v>
      </c>
      <c r="J25" s="40" t="s">
        <v>69</v>
      </c>
      <c r="K25" s="194" t="s">
        <v>302</v>
      </c>
      <c r="L25" s="17" t="s">
        <v>2</v>
      </c>
      <c r="M25" s="108" t="s">
        <v>4115</v>
      </c>
      <c r="O25" s="205"/>
    </row>
    <row r="26" spans="1:16" ht="15.75" thickBot="1" x14ac:dyDescent="0.3">
      <c r="A26" s="107" t="s">
        <v>4107</v>
      </c>
      <c r="B26" s="345" t="s">
        <v>4109</v>
      </c>
      <c r="C26" s="252" t="s">
        <v>4201</v>
      </c>
      <c r="D26" s="41">
        <v>38.22</v>
      </c>
      <c r="E26" s="41">
        <v>39.729999999999997</v>
      </c>
      <c r="F26" s="116">
        <f t="shared" si="1"/>
        <v>7840.5</v>
      </c>
      <c r="G26" s="27">
        <f>(G21+G22+G23+G24+G25)/5</f>
        <v>7950.2</v>
      </c>
      <c r="H26" s="115">
        <f>(H21+H22+H23+H24+H25)/5</f>
        <v>7730.8</v>
      </c>
      <c r="I26" s="333" t="s">
        <v>352</v>
      </c>
      <c r="J26" s="40" t="s">
        <v>69</v>
      </c>
      <c r="K26" s="194" t="s">
        <v>302</v>
      </c>
      <c r="L26" s="17" t="s">
        <v>2</v>
      </c>
      <c r="M26" s="108" t="s">
        <v>4117</v>
      </c>
      <c r="N26" s="230" t="s">
        <v>4116</v>
      </c>
      <c r="O26" s="205" t="s">
        <v>4121</v>
      </c>
    </row>
    <row r="27" spans="1:16" x14ac:dyDescent="0.25">
      <c r="A27" s="107" t="s">
        <v>4127</v>
      </c>
      <c r="B27" s="513" t="s">
        <v>4160</v>
      </c>
      <c r="C27" s="252" t="s">
        <v>4202</v>
      </c>
      <c r="D27" s="514">
        <v>36.716667000000001</v>
      </c>
      <c r="E27" s="514">
        <v>42.85</v>
      </c>
      <c r="F27" s="116">
        <f t="shared" si="1"/>
        <v>8750</v>
      </c>
      <c r="G27" s="27">
        <v>9500</v>
      </c>
      <c r="H27" s="112">
        <v>8000</v>
      </c>
      <c r="I27" s="319" t="s">
        <v>4163</v>
      </c>
      <c r="J27" s="344" t="s">
        <v>34</v>
      </c>
      <c r="K27" s="342" t="s">
        <v>4168</v>
      </c>
      <c r="L27" s="514" t="s">
        <v>14</v>
      </c>
      <c r="M27" s="342" t="s">
        <v>4161</v>
      </c>
      <c r="O27" s="205"/>
      <c r="P27" s="344"/>
    </row>
    <row r="28" spans="1:16" ht="15.75" thickBot="1" x14ac:dyDescent="0.3">
      <c r="A28" s="107" t="s">
        <v>4127</v>
      </c>
      <c r="B28" s="513" t="s">
        <v>4160</v>
      </c>
      <c r="C28" s="252" t="s">
        <v>4202</v>
      </c>
      <c r="D28" s="514">
        <v>36.716667000000001</v>
      </c>
      <c r="E28" s="514">
        <v>42.85</v>
      </c>
      <c r="F28" s="116">
        <f t="shared" si="1"/>
        <v>8750</v>
      </c>
      <c r="G28" s="27">
        <v>9500</v>
      </c>
      <c r="H28" s="112">
        <v>8000</v>
      </c>
      <c r="I28" s="319" t="s">
        <v>4164</v>
      </c>
      <c r="J28" s="344" t="s">
        <v>69</v>
      </c>
      <c r="K28" s="342" t="s">
        <v>4166</v>
      </c>
      <c r="L28" s="514" t="s">
        <v>2</v>
      </c>
      <c r="M28" s="342" t="s">
        <v>4162</v>
      </c>
      <c r="O28" s="205"/>
      <c r="P28" s="344"/>
    </row>
    <row r="29" spans="1:16" s="45" customFormat="1" ht="15.75" thickBot="1" x14ac:dyDescent="0.3">
      <c r="A29" s="107" t="s">
        <v>4204</v>
      </c>
      <c r="B29" s="515" t="s">
        <v>4199</v>
      </c>
      <c r="C29" s="238" t="s">
        <v>4193</v>
      </c>
      <c r="D29" s="514">
        <v>37.526200000000003</v>
      </c>
      <c r="E29" s="514">
        <v>41.845199999999998</v>
      </c>
      <c r="F29" s="116">
        <f>AVERAGE(G29:H29)</f>
        <v>8750</v>
      </c>
      <c r="G29" s="27">
        <v>9000</v>
      </c>
      <c r="H29" s="112">
        <v>8500</v>
      </c>
      <c r="I29" s="182" t="s">
        <v>6</v>
      </c>
      <c r="J29" s="593" t="s">
        <v>69</v>
      </c>
      <c r="K29" s="194" t="s">
        <v>4166</v>
      </c>
      <c r="L29" s="17" t="s">
        <v>2</v>
      </c>
      <c r="M29" s="342" t="s">
        <v>4185</v>
      </c>
      <c r="N29" s="230"/>
      <c r="O29" s="205"/>
    </row>
    <row r="30" spans="1:16" s="2" customFormat="1" x14ac:dyDescent="0.25">
      <c r="A30" s="665" t="s">
        <v>4236</v>
      </c>
      <c r="B30" s="678"/>
      <c r="C30" s="679"/>
      <c r="D30" s="680">
        <f>AVERAGE(D11:D29)</f>
        <v>37.07611231578948</v>
      </c>
      <c r="E30" s="680">
        <f>AVERAGE(E11:E29)</f>
        <v>39.346936842105265</v>
      </c>
      <c r="F30" s="681">
        <f>AVERAGE(F11:F29)</f>
        <v>7752.2631578947367</v>
      </c>
      <c r="G30" s="17"/>
      <c r="H30" s="112"/>
      <c r="I30" s="320"/>
      <c r="J30" s="40"/>
      <c r="K30" s="194"/>
      <c r="L30" s="17"/>
      <c r="M30" s="108"/>
      <c r="N30" s="354"/>
      <c r="O30" s="325"/>
    </row>
    <row r="31" spans="1:16" s="91" customFormat="1" x14ac:dyDescent="0.25">
      <c r="A31" s="231" t="s">
        <v>4570</v>
      </c>
      <c r="B31" s="310"/>
      <c r="C31" s="311"/>
      <c r="D31" s="312"/>
      <c r="E31" s="312"/>
      <c r="F31" s="313"/>
      <c r="G31" s="90"/>
      <c r="H31" s="314"/>
      <c r="I31" s="315"/>
      <c r="J31" s="315"/>
      <c r="K31" s="316"/>
      <c r="L31" s="90"/>
      <c r="M31" s="317"/>
      <c r="N31" s="230"/>
      <c r="O31" s="209"/>
    </row>
    <row r="32" spans="1:16" s="2" customFormat="1" x14ac:dyDescent="0.25">
      <c r="A32" s="87" t="s">
        <v>4283</v>
      </c>
      <c r="B32" s="238"/>
      <c r="C32" s="215"/>
      <c r="D32" s="8"/>
      <c r="E32" s="8"/>
      <c r="F32" s="117"/>
      <c r="G32" s="8"/>
      <c r="H32" s="112"/>
      <c r="I32" s="40"/>
      <c r="J32" s="40"/>
      <c r="K32" s="194"/>
      <c r="L32" s="17"/>
      <c r="M32" s="108"/>
      <c r="N32" s="230"/>
      <c r="O32" s="205"/>
    </row>
    <row r="33" spans="1:15" s="2" customFormat="1" x14ac:dyDescent="0.25">
      <c r="A33" s="87" t="s">
        <v>4571</v>
      </c>
      <c r="B33" s="238"/>
      <c r="C33" s="215"/>
      <c r="D33" s="8"/>
      <c r="E33" s="8"/>
      <c r="F33" s="117"/>
      <c r="G33" s="8"/>
      <c r="H33" s="112"/>
      <c r="I33" s="40"/>
      <c r="J33" s="40"/>
      <c r="K33" s="194"/>
      <c r="L33" s="17"/>
      <c r="M33" s="108"/>
      <c r="N33" s="230"/>
      <c r="O33" s="205"/>
    </row>
    <row r="34" spans="1:15" s="2" customFormat="1" x14ac:dyDescent="0.25">
      <c r="A34" s="87"/>
      <c r="B34" s="367"/>
      <c r="C34" s="368"/>
      <c r="D34" s="8"/>
      <c r="E34" s="8"/>
      <c r="F34" s="117"/>
      <c r="G34" s="8"/>
      <c r="H34" s="112"/>
      <c r="I34" s="40"/>
      <c r="J34" s="40"/>
      <c r="K34" s="194"/>
      <c r="L34" s="17"/>
      <c r="M34" s="108"/>
      <c r="N34" s="354"/>
      <c r="O34" s="325"/>
    </row>
    <row r="35" spans="1:15" x14ac:dyDescent="0.25">
      <c r="B35" s="367"/>
      <c r="C35" s="368"/>
      <c r="D35" s="8"/>
      <c r="E35" s="8"/>
      <c r="F35" s="117"/>
      <c r="G35" s="8"/>
      <c r="N35" s="354"/>
      <c r="O35" s="325"/>
    </row>
    <row r="36" spans="1:15" ht="31.5" x14ac:dyDescent="0.5">
      <c r="A36" s="401" t="s">
        <v>4241</v>
      </c>
      <c r="B36" s="367"/>
      <c r="C36" s="368"/>
      <c r="D36" s="8"/>
      <c r="E36" s="8"/>
      <c r="F36" s="117"/>
      <c r="G36" s="8"/>
      <c r="N36" s="354"/>
      <c r="O36" s="325"/>
    </row>
    <row r="37" spans="1:15" s="415" customFormat="1" ht="13.15" customHeight="1" x14ac:dyDescent="0.25">
      <c r="A37" s="411"/>
      <c r="B37" s="566"/>
      <c r="C37" s="567"/>
      <c r="D37" s="412"/>
      <c r="E37" s="412"/>
      <c r="F37" s="413"/>
      <c r="G37" s="412"/>
      <c r="H37" s="568"/>
      <c r="I37" s="414"/>
      <c r="J37" s="414"/>
      <c r="K37" s="194"/>
      <c r="L37" s="620"/>
      <c r="M37" s="194"/>
      <c r="N37" s="399"/>
      <c r="O37" s="614"/>
    </row>
    <row r="38" spans="1:15" ht="13.15" customHeight="1" x14ac:dyDescent="0.25">
      <c r="A38" s="665" t="s">
        <v>4246</v>
      </c>
      <c r="B38" s="367"/>
      <c r="C38" s="368"/>
      <c r="D38" s="8"/>
      <c r="E38" s="8"/>
      <c r="F38" s="117"/>
      <c r="G38" s="8"/>
      <c r="N38" s="354"/>
      <c r="O38" s="325"/>
    </row>
    <row r="39" spans="1:15" s="100" customFormat="1" ht="32.450000000000003" customHeight="1" thickBot="1" x14ac:dyDescent="0.3">
      <c r="A39" s="507" t="s">
        <v>4291</v>
      </c>
      <c r="B39" s="508" t="s">
        <v>1247</v>
      </c>
      <c r="C39" s="509" t="s">
        <v>0</v>
      </c>
      <c r="D39" s="510" t="s">
        <v>969</v>
      </c>
      <c r="E39" s="510" t="s">
        <v>2323</v>
      </c>
      <c r="F39" s="510" t="s">
        <v>398</v>
      </c>
      <c r="G39" s="511" t="s">
        <v>399</v>
      </c>
      <c r="H39" s="512" t="s">
        <v>400</v>
      </c>
      <c r="I39" s="101" t="s">
        <v>2322</v>
      </c>
      <c r="J39" s="589" t="s">
        <v>3927</v>
      </c>
      <c r="K39" s="590" t="s">
        <v>3250</v>
      </c>
      <c r="L39" s="591" t="s">
        <v>1</v>
      </c>
      <c r="M39" s="590" t="s">
        <v>3486</v>
      </c>
      <c r="N39" s="640" t="s">
        <v>3487</v>
      </c>
      <c r="O39" s="339" t="s">
        <v>2324</v>
      </c>
    </row>
    <row r="40" spans="1:15" s="45" customFormat="1" ht="15.75" thickBot="1" x14ac:dyDescent="0.3">
      <c r="A40" s="107" t="s">
        <v>4212</v>
      </c>
      <c r="B40" s="238" t="s">
        <v>640</v>
      </c>
      <c r="C40" s="252" t="s">
        <v>4203</v>
      </c>
      <c r="D40" s="41">
        <v>38.17</v>
      </c>
      <c r="E40" s="41">
        <v>34.49</v>
      </c>
      <c r="F40" s="116">
        <f t="shared" ref="F40:F53" si="2">(G40+H40)/2</f>
        <v>6692.5</v>
      </c>
      <c r="G40" s="27">
        <v>6750</v>
      </c>
      <c r="H40" s="112">
        <v>6635</v>
      </c>
      <c r="I40" s="174" t="s">
        <v>6</v>
      </c>
      <c r="J40" s="40" t="s">
        <v>69</v>
      </c>
      <c r="K40" s="194" t="s">
        <v>3110</v>
      </c>
      <c r="L40" s="17" t="s">
        <v>14</v>
      </c>
      <c r="M40" s="108" t="s">
        <v>710</v>
      </c>
      <c r="N40" s="230"/>
      <c r="O40" s="205"/>
    </row>
    <row r="41" spans="1:15" s="45" customFormat="1" ht="15.75" thickBot="1" x14ac:dyDescent="0.3">
      <c r="A41" s="107" t="s">
        <v>4212</v>
      </c>
      <c r="B41" s="238" t="s">
        <v>640</v>
      </c>
      <c r="C41" s="252" t="s">
        <v>4203</v>
      </c>
      <c r="D41" s="41">
        <v>38.17</v>
      </c>
      <c r="E41" s="41">
        <v>34.49</v>
      </c>
      <c r="F41" s="116">
        <f t="shared" si="2"/>
        <v>6635</v>
      </c>
      <c r="G41" s="27">
        <v>6680</v>
      </c>
      <c r="H41" s="112">
        <v>6590</v>
      </c>
      <c r="I41" s="174" t="s">
        <v>641</v>
      </c>
      <c r="J41" s="40" t="s">
        <v>69</v>
      </c>
      <c r="K41" s="194" t="s">
        <v>3110</v>
      </c>
      <c r="L41" s="17" t="s">
        <v>2</v>
      </c>
      <c r="M41" s="108" t="s">
        <v>642</v>
      </c>
      <c r="N41" s="230"/>
      <c r="O41" s="205" t="s">
        <v>643</v>
      </c>
    </row>
    <row r="42" spans="1:15" s="45" customFormat="1" x14ac:dyDescent="0.25">
      <c r="A42" s="107" t="s">
        <v>4212</v>
      </c>
      <c r="B42" s="238" t="s">
        <v>640</v>
      </c>
      <c r="C42" s="252" t="s">
        <v>4203</v>
      </c>
      <c r="D42" s="41">
        <v>38.17</v>
      </c>
      <c r="E42" s="41">
        <v>34.49</v>
      </c>
      <c r="F42" s="116">
        <f t="shared" si="2"/>
        <v>6555</v>
      </c>
      <c r="G42" s="27">
        <v>6635</v>
      </c>
      <c r="H42" s="112">
        <v>6475</v>
      </c>
      <c r="I42" s="97" t="s">
        <v>362</v>
      </c>
      <c r="J42" s="40" t="s">
        <v>84</v>
      </c>
      <c r="K42" s="194" t="s">
        <v>3110</v>
      </c>
      <c r="L42" s="17" t="s">
        <v>14</v>
      </c>
      <c r="M42" s="108" t="s">
        <v>644</v>
      </c>
      <c r="N42" s="230"/>
      <c r="O42" s="205" t="s">
        <v>645</v>
      </c>
    </row>
    <row r="43" spans="1:15" s="45" customFormat="1" x14ac:dyDescent="0.25">
      <c r="A43" s="107" t="s">
        <v>4212</v>
      </c>
      <c r="B43" s="238" t="s">
        <v>640</v>
      </c>
      <c r="C43" s="252" t="s">
        <v>4203</v>
      </c>
      <c r="D43" s="41">
        <v>38.17</v>
      </c>
      <c r="E43" s="41">
        <v>34.49</v>
      </c>
      <c r="F43" s="116">
        <f t="shared" si="2"/>
        <v>6345</v>
      </c>
      <c r="G43" s="27">
        <v>6430</v>
      </c>
      <c r="H43" s="112">
        <v>6260</v>
      </c>
      <c r="I43" s="97" t="s">
        <v>128</v>
      </c>
      <c r="J43" s="40" t="s">
        <v>69</v>
      </c>
      <c r="K43" s="194" t="s">
        <v>3110</v>
      </c>
      <c r="L43" s="17" t="s">
        <v>2</v>
      </c>
      <c r="M43" s="108" t="s">
        <v>646</v>
      </c>
      <c r="N43" s="230"/>
      <c r="O43" s="205" t="s">
        <v>647</v>
      </c>
    </row>
    <row r="44" spans="1:15" s="45" customFormat="1" x14ac:dyDescent="0.25">
      <c r="A44" s="107" t="s">
        <v>4212</v>
      </c>
      <c r="B44" s="238" t="s">
        <v>640</v>
      </c>
      <c r="C44" s="252" t="s">
        <v>4203</v>
      </c>
      <c r="D44" s="41">
        <v>38.17</v>
      </c>
      <c r="E44" s="41">
        <v>34.49</v>
      </c>
      <c r="F44" s="116">
        <f t="shared" si="2"/>
        <v>6280</v>
      </c>
      <c r="G44" s="27">
        <v>6345</v>
      </c>
      <c r="H44" s="112">
        <v>6215</v>
      </c>
      <c r="I44" s="97" t="s">
        <v>128</v>
      </c>
      <c r="J44" s="40" t="s">
        <v>147</v>
      </c>
      <c r="K44" s="194" t="s">
        <v>3110</v>
      </c>
      <c r="L44" s="17" t="s">
        <v>14</v>
      </c>
      <c r="M44" s="108" t="s">
        <v>648</v>
      </c>
      <c r="N44" s="230"/>
      <c r="O44" s="205" t="s">
        <v>649</v>
      </c>
    </row>
    <row r="45" spans="1:15" s="45" customFormat="1" ht="15.75" thickBot="1" x14ac:dyDescent="0.3">
      <c r="A45" s="107" t="s">
        <v>4212</v>
      </c>
      <c r="B45" s="345" t="s">
        <v>650</v>
      </c>
      <c r="C45" s="252" t="s">
        <v>4203</v>
      </c>
      <c r="D45" s="41">
        <v>37.75</v>
      </c>
      <c r="E45" s="41">
        <v>32.86</v>
      </c>
      <c r="F45" s="116">
        <f t="shared" si="2"/>
        <v>8082</v>
      </c>
      <c r="G45" s="27">
        <v>8212</v>
      </c>
      <c r="H45" s="112">
        <v>7952</v>
      </c>
      <c r="I45" s="97" t="s">
        <v>273</v>
      </c>
      <c r="J45" s="40" t="s">
        <v>651</v>
      </c>
      <c r="K45" s="194" t="s">
        <v>3110</v>
      </c>
      <c r="L45" s="17" t="s">
        <v>14</v>
      </c>
      <c r="M45" s="253" t="s">
        <v>653</v>
      </c>
      <c r="N45" s="239" t="s">
        <v>652</v>
      </c>
      <c r="O45" s="205"/>
    </row>
    <row r="46" spans="1:15" s="45" customFormat="1" ht="15.75" thickBot="1" x14ac:dyDescent="0.3">
      <c r="A46" s="107" t="s">
        <v>4212</v>
      </c>
      <c r="B46" s="345" t="s">
        <v>650</v>
      </c>
      <c r="C46" s="252" t="s">
        <v>4203</v>
      </c>
      <c r="D46" s="41">
        <v>37.75</v>
      </c>
      <c r="E46" s="41">
        <v>32.86</v>
      </c>
      <c r="F46" s="116">
        <f t="shared" si="2"/>
        <v>8128</v>
      </c>
      <c r="G46" s="27">
        <v>8279</v>
      </c>
      <c r="H46" s="112">
        <v>7977</v>
      </c>
      <c r="I46" s="174" t="s">
        <v>6</v>
      </c>
      <c r="J46" s="40" t="s">
        <v>69</v>
      </c>
      <c r="K46" s="194" t="s">
        <v>3110</v>
      </c>
      <c r="L46" s="17" t="s">
        <v>2</v>
      </c>
      <c r="M46" s="253" t="s">
        <v>655</v>
      </c>
      <c r="N46" s="239" t="s">
        <v>654</v>
      </c>
      <c r="O46" s="205"/>
    </row>
    <row r="47" spans="1:15" s="45" customFormat="1" x14ac:dyDescent="0.25">
      <c r="A47" s="107" t="s">
        <v>4212</v>
      </c>
      <c r="B47" s="345" t="s">
        <v>650</v>
      </c>
      <c r="C47" s="252" t="s">
        <v>4203</v>
      </c>
      <c r="D47" s="41">
        <v>37.75</v>
      </c>
      <c r="E47" s="41">
        <v>32.86</v>
      </c>
      <c r="F47" s="116">
        <f t="shared" si="2"/>
        <v>8126</v>
      </c>
      <c r="G47" s="27">
        <v>8300</v>
      </c>
      <c r="H47" s="112">
        <v>7952</v>
      </c>
      <c r="I47" s="97" t="s">
        <v>128</v>
      </c>
      <c r="J47" s="40" t="s">
        <v>651</v>
      </c>
      <c r="K47" s="194" t="s">
        <v>3110</v>
      </c>
      <c r="L47" s="17" t="s">
        <v>14</v>
      </c>
      <c r="M47" s="253" t="s">
        <v>657</v>
      </c>
      <c r="N47" s="239" t="s">
        <v>656</v>
      </c>
      <c r="O47" s="205"/>
    </row>
    <row r="48" spans="1:15" s="45" customFormat="1" x14ac:dyDescent="0.25">
      <c r="A48" s="107" t="s">
        <v>4212</v>
      </c>
      <c r="B48" s="345" t="s">
        <v>650</v>
      </c>
      <c r="C48" s="252" t="s">
        <v>4203</v>
      </c>
      <c r="D48" s="41">
        <v>37.75</v>
      </c>
      <c r="E48" s="41">
        <v>32.86</v>
      </c>
      <c r="F48" s="116">
        <f t="shared" si="2"/>
        <v>8270</v>
      </c>
      <c r="G48" s="27">
        <v>8300</v>
      </c>
      <c r="H48" s="112">
        <v>8240</v>
      </c>
      <c r="I48" s="97" t="s">
        <v>128</v>
      </c>
      <c r="J48" s="40" t="s">
        <v>69</v>
      </c>
      <c r="K48" s="194" t="s">
        <v>3110</v>
      </c>
      <c r="L48" s="17" t="s">
        <v>2</v>
      </c>
      <c r="M48" s="253" t="s">
        <v>659</v>
      </c>
      <c r="N48" s="239" t="s">
        <v>658</v>
      </c>
      <c r="O48" s="205"/>
    </row>
    <row r="49" spans="1:15" s="45" customFormat="1" ht="15.75" thickBot="1" x14ac:dyDescent="0.3">
      <c r="A49" s="189" t="s">
        <v>686</v>
      </c>
      <c r="B49" s="345" t="s">
        <v>650</v>
      </c>
      <c r="C49" s="252" t="s">
        <v>4203</v>
      </c>
      <c r="D49" s="41">
        <v>37.75</v>
      </c>
      <c r="E49" s="41">
        <v>32.86</v>
      </c>
      <c r="F49" s="116">
        <f t="shared" si="2"/>
        <v>8050</v>
      </c>
      <c r="G49" s="27">
        <v>8300</v>
      </c>
      <c r="H49" s="112">
        <v>7800</v>
      </c>
      <c r="I49" s="97" t="s">
        <v>128</v>
      </c>
      <c r="J49" s="40" t="s">
        <v>69</v>
      </c>
      <c r="K49" s="194" t="s">
        <v>687</v>
      </c>
      <c r="L49" s="17" t="s">
        <v>2</v>
      </c>
      <c r="M49" s="108" t="s">
        <v>688</v>
      </c>
      <c r="N49" s="257"/>
      <c r="O49" s="208" t="s">
        <v>689</v>
      </c>
    </row>
    <row r="50" spans="1:15" s="45" customFormat="1" ht="15.75" thickBot="1" x14ac:dyDescent="0.3">
      <c r="A50" s="189" t="s">
        <v>686</v>
      </c>
      <c r="B50" s="345" t="s">
        <v>650</v>
      </c>
      <c r="C50" s="252" t="s">
        <v>4203</v>
      </c>
      <c r="D50" s="41">
        <v>37.75</v>
      </c>
      <c r="E50" s="41">
        <v>32.86</v>
      </c>
      <c r="F50" s="116">
        <f t="shared" si="2"/>
        <v>8050</v>
      </c>
      <c r="G50" s="27">
        <v>8300</v>
      </c>
      <c r="H50" s="112">
        <v>7800</v>
      </c>
      <c r="I50" s="174" t="s">
        <v>6</v>
      </c>
      <c r="J50" s="40" t="s">
        <v>547</v>
      </c>
      <c r="K50" s="194" t="s">
        <v>687</v>
      </c>
      <c r="L50" s="17" t="s">
        <v>14</v>
      </c>
      <c r="M50" s="108" t="s">
        <v>690</v>
      </c>
      <c r="N50" s="257"/>
      <c r="O50" s="208" t="s">
        <v>691</v>
      </c>
    </row>
    <row r="51" spans="1:15" s="45" customFormat="1" x14ac:dyDescent="0.25">
      <c r="A51" s="189" t="s">
        <v>686</v>
      </c>
      <c r="B51" s="345" t="s">
        <v>650</v>
      </c>
      <c r="C51" s="252" t="s">
        <v>4203</v>
      </c>
      <c r="D51" s="41">
        <v>37.75</v>
      </c>
      <c r="E51" s="41">
        <v>32.86</v>
      </c>
      <c r="F51" s="116">
        <f t="shared" si="2"/>
        <v>8050</v>
      </c>
      <c r="G51" s="27">
        <v>8300</v>
      </c>
      <c r="H51" s="112">
        <v>7800</v>
      </c>
      <c r="I51" s="97" t="s">
        <v>273</v>
      </c>
      <c r="J51" s="40" t="s">
        <v>651</v>
      </c>
      <c r="K51" s="194" t="s">
        <v>687</v>
      </c>
      <c r="L51" s="17" t="s">
        <v>14</v>
      </c>
      <c r="M51" s="108" t="s">
        <v>692</v>
      </c>
      <c r="N51" s="257"/>
      <c r="O51" s="208" t="s">
        <v>693</v>
      </c>
    </row>
    <row r="52" spans="1:15" s="45" customFormat="1" x14ac:dyDescent="0.25">
      <c r="A52" s="189" t="s">
        <v>686</v>
      </c>
      <c r="B52" s="345" t="s">
        <v>650</v>
      </c>
      <c r="C52" s="252" t="s">
        <v>4203</v>
      </c>
      <c r="D52" s="41">
        <v>37.75</v>
      </c>
      <c r="E52" s="41">
        <v>32.86</v>
      </c>
      <c r="F52" s="116">
        <f t="shared" si="2"/>
        <v>8050</v>
      </c>
      <c r="G52" s="27">
        <v>8300</v>
      </c>
      <c r="H52" s="112">
        <v>7800</v>
      </c>
      <c r="I52" s="97" t="s">
        <v>273</v>
      </c>
      <c r="J52" s="40" t="s">
        <v>69</v>
      </c>
      <c r="K52" s="194" t="s">
        <v>687</v>
      </c>
      <c r="L52" s="17" t="s">
        <v>2</v>
      </c>
      <c r="M52" s="108" t="s">
        <v>694</v>
      </c>
      <c r="N52" s="257"/>
      <c r="O52" s="208" t="s">
        <v>695</v>
      </c>
    </row>
    <row r="53" spans="1:15" s="45" customFormat="1" x14ac:dyDescent="0.25">
      <c r="A53" s="189" t="s">
        <v>686</v>
      </c>
      <c r="B53" s="345" t="s">
        <v>650</v>
      </c>
      <c r="C53" s="252" t="s">
        <v>4203</v>
      </c>
      <c r="D53" s="41">
        <v>37.75</v>
      </c>
      <c r="E53" s="41">
        <v>32.86</v>
      </c>
      <c r="F53" s="116">
        <f t="shared" si="2"/>
        <v>8239.5</v>
      </c>
      <c r="G53" s="27">
        <v>8269</v>
      </c>
      <c r="H53" s="112">
        <v>8210</v>
      </c>
      <c r="I53" s="97" t="s">
        <v>273</v>
      </c>
      <c r="J53" s="40" t="s">
        <v>69</v>
      </c>
      <c r="K53" s="194" t="s">
        <v>687</v>
      </c>
      <c r="L53" s="17" t="s">
        <v>2</v>
      </c>
      <c r="M53" s="108" t="s">
        <v>696</v>
      </c>
      <c r="N53" s="257"/>
      <c r="O53" s="208" t="s">
        <v>697</v>
      </c>
    </row>
    <row r="54" spans="1:15" x14ac:dyDescent="0.25">
      <c r="A54" s="189" t="s">
        <v>3991</v>
      </c>
      <c r="B54" s="345" t="s">
        <v>3960</v>
      </c>
      <c r="C54" s="252" t="s">
        <v>4203</v>
      </c>
      <c r="D54" s="90">
        <v>37.666666999999997</v>
      </c>
      <c r="E54" s="90">
        <v>32.828055999999997</v>
      </c>
      <c r="F54" s="116">
        <f t="shared" ref="F54:F85" si="3">(G54+H54)/2</f>
        <v>6415</v>
      </c>
      <c r="G54" s="115">
        <v>6450</v>
      </c>
      <c r="H54" s="115">
        <v>6380</v>
      </c>
      <c r="I54" s="97" t="s">
        <v>3992</v>
      </c>
      <c r="J54" s="593" t="s">
        <v>69</v>
      </c>
      <c r="K54" s="194" t="s">
        <v>3110</v>
      </c>
      <c r="L54" s="594" t="s">
        <v>1446</v>
      </c>
      <c r="M54" s="108">
        <v>20036</v>
      </c>
      <c r="O54" s="205" t="s">
        <v>3963</v>
      </c>
    </row>
    <row r="55" spans="1:15" ht="15.75" thickBot="1" x14ac:dyDescent="0.3">
      <c r="A55" s="189" t="s">
        <v>3991</v>
      </c>
      <c r="B55" s="345" t="s">
        <v>3960</v>
      </c>
      <c r="C55" s="252" t="s">
        <v>4203</v>
      </c>
      <c r="D55" s="90">
        <v>37.666666999999997</v>
      </c>
      <c r="E55" s="90">
        <v>32.828055999999997</v>
      </c>
      <c r="F55" s="116">
        <f t="shared" si="3"/>
        <v>6415</v>
      </c>
      <c r="G55" s="115">
        <v>6450</v>
      </c>
      <c r="H55" s="115">
        <v>6380</v>
      </c>
      <c r="I55" s="97" t="s">
        <v>170</v>
      </c>
      <c r="J55" s="593" t="s">
        <v>69</v>
      </c>
      <c r="K55" s="194" t="s">
        <v>3110</v>
      </c>
      <c r="L55" s="594" t="s">
        <v>1446</v>
      </c>
      <c r="M55" s="108">
        <v>19159</v>
      </c>
      <c r="O55" s="205"/>
    </row>
    <row r="56" spans="1:15" ht="15.75" thickBot="1" x14ac:dyDescent="0.3">
      <c r="A56" s="189" t="s">
        <v>3991</v>
      </c>
      <c r="B56" s="345" t="s">
        <v>3960</v>
      </c>
      <c r="C56" s="252" t="s">
        <v>4203</v>
      </c>
      <c r="D56" s="90">
        <v>37.666666999999997</v>
      </c>
      <c r="E56" s="90">
        <v>32.828055999999997</v>
      </c>
      <c r="F56" s="116">
        <f t="shared" si="3"/>
        <v>6415</v>
      </c>
      <c r="G56" s="115">
        <v>6450</v>
      </c>
      <c r="H56" s="115">
        <v>6380</v>
      </c>
      <c r="I56" s="174" t="s">
        <v>3987</v>
      </c>
      <c r="J56" s="593" t="s">
        <v>69</v>
      </c>
      <c r="K56" s="194" t="s">
        <v>3110</v>
      </c>
      <c r="L56" s="594" t="s">
        <v>2</v>
      </c>
      <c r="M56" s="108">
        <v>21981</v>
      </c>
      <c r="O56" s="205"/>
    </row>
    <row r="57" spans="1:15" x14ac:dyDescent="0.25">
      <c r="A57" s="189" t="s">
        <v>3991</v>
      </c>
      <c r="B57" s="345" t="s">
        <v>3960</v>
      </c>
      <c r="C57" s="252" t="s">
        <v>4203</v>
      </c>
      <c r="D57" s="90">
        <v>37.666666999999997</v>
      </c>
      <c r="E57" s="90">
        <v>32.828055999999997</v>
      </c>
      <c r="F57" s="116">
        <f t="shared" si="3"/>
        <v>6415</v>
      </c>
      <c r="G57" s="115">
        <v>6450</v>
      </c>
      <c r="H57" s="115">
        <v>6380</v>
      </c>
      <c r="I57" s="97" t="s">
        <v>8</v>
      </c>
      <c r="J57" s="593" t="s">
        <v>69</v>
      </c>
      <c r="K57" s="194" t="s">
        <v>3110</v>
      </c>
      <c r="L57" s="594" t="s">
        <v>1446</v>
      </c>
      <c r="M57" s="108">
        <v>30900</v>
      </c>
      <c r="O57" s="205"/>
    </row>
    <row r="58" spans="1:15" ht="15.75" thickBot="1" x14ac:dyDescent="0.3">
      <c r="A58" s="189" t="s">
        <v>3991</v>
      </c>
      <c r="B58" s="345" t="s">
        <v>3960</v>
      </c>
      <c r="C58" s="252" t="s">
        <v>4203</v>
      </c>
      <c r="D58" s="90">
        <v>37.666666999999997</v>
      </c>
      <c r="E58" s="90">
        <v>32.828055999999997</v>
      </c>
      <c r="F58" s="116">
        <f t="shared" si="3"/>
        <v>6415</v>
      </c>
      <c r="G58" s="115">
        <v>6450</v>
      </c>
      <c r="H58" s="115">
        <v>6380</v>
      </c>
      <c r="I58" s="97" t="s">
        <v>3993</v>
      </c>
      <c r="J58" s="593" t="s">
        <v>69</v>
      </c>
      <c r="K58" s="194" t="s">
        <v>3110</v>
      </c>
      <c r="L58" s="594" t="s">
        <v>69</v>
      </c>
      <c r="M58" s="108">
        <v>20810</v>
      </c>
      <c r="O58" s="205"/>
    </row>
    <row r="59" spans="1:15" ht="15.75" thickBot="1" x14ac:dyDescent="0.3">
      <c r="A59" s="189" t="s">
        <v>3991</v>
      </c>
      <c r="B59" s="345" t="s">
        <v>3960</v>
      </c>
      <c r="C59" s="252" t="s">
        <v>4203</v>
      </c>
      <c r="D59" s="90">
        <v>37.666666999999997</v>
      </c>
      <c r="E59" s="90">
        <v>32.828055999999997</v>
      </c>
      <c r="F59" s="116">
        <f t="shared" si="3"/>
        <v>6415</v>
      </c>
      <c r="G59" s="115">
        <v>6450</v>
      </c>
      <c r="H59" s="115">
        <v>6380</v>
      </c>
      <c r="I59" s="174" t="s">
        <v>43</v>
      </c>
      <c r="J59" s="593" t="s">
        <v>69</v>
      </c>
      <c r="K59" s="194" t="s">
        <v>3110</v>
      </c>
      <c r="L59" s="594" t="s">
        <v>14</v>
      </c>
      <c r="M59" s="108">
        <v>19727</v>
      </c>
      <c r="O59" s="205"/>
    </row>
    <row r="60" spans="1:15" x14ac:dyDescent="0.25">
      <c r="A60" s="189" t="s">
        <v>3991</v>
      </c>
      <c r="B60" s="345" t="s">
        <v>3960</v>
      </c>
      <c r="C60" s="252" t="s">
        <v>4203</v>
      </c>
      <c r="D60" s="90">
        <v>37.666666999999997</v>
      </c>
      <c r="E60" s="90">
        <v>32.828055999999997</v>
      </c>
      <c r="F60" s="116">
        <f t="shared" si="3"/>
        <v>6415</v>
      </c>
      <c r="G60" s="115">
        <v>6450</v>
      </c>
      <c r="H60" s="115">
        <v>6380</v>
      </c>
      <c r="I60" s="97" t="s">
        <v>3994</v>
      </c>
      <c r="J60" s="593" t="s">
        <v>69</v>
      </c>
      <c r="K60" s="194" t="s">
        <v>3110</v>
      </c>
      <c r="L60" s="594" t="s">
        <v>2</v>
      </c>
      <c r="M60" s="108">
        <v>20832</v>
      </c>
      <c r="O60" s="205"/>
    </row>
    <row r="61" spans="1:15" x14ac:dyDescent="0.25">
      <c r="A61" s="189" t="s">
        <v>3991</v>
      </c>
      <c r="B61" s="345" t="s">
        <v>3960</v>
      </c>
      <c r="C61" s="252" t="s">
        <v>4203</v>
      </c>
      <c r="D61" s="90">
        <v>37.666666999999997</v>
      </c>
      <c r="E61" s="90">
        <v>32.828055999999997</v>
      </c>
      <c r="F61" s="116">
        <f t="shared" si="3"/>
        <v>6415</v>
      </c>
      <c r="G61" s="115">
        <v>6450</v>
      </c>
      <c r="H61" s="115">
        <v>6380</v>
      </c>
      <c r="I61" s="97" t="s">
        <v>18</v>
      </c>
      <c r="J61" s="593" t="s">
        <v>69</v>
      </c>
      <c r="K61" s="194" t="s">
        <v>3110</v>
      </c>
      <c r="L61" s="594" t="s">
        <v>2</v>
      </c>
      <c r="M61" s="108">
        <v>20850</v>
      </c>
      <c r="O61" s="205"/>
    </row>
    <row r="62" spans="1:15" x14ac:dyDescent="0.25">
      <c r="A62" s="189" t="s">
        <v>3991</v>
      </c>
      <c r="B62" s="345" t="s">
        <v>3960</v>
      </c>
      <c r="C62" s="252" t="s">
        <v>4203</v>
      </c>
      <c r="D62" s="90">
        <v>37.666666999999997</v>
      </c>
      <c r="E62" s="90">
        <v>32.828055999999997</v>
      </c>
      <c r="F62" s="116">
        <f t="shared" si="3"/>
        <v>6415</v>
      </c>
      <c r="G62" s="115">
        <v>6450</v>
      </c>
      <c r="H62" s="115">
        <v>6380</v>
      </c>
      <c r="I62" s="97" t="s">
        <v>2621</v>
      </c>
      <c r="J62" s="593" t="s">
        <v>69</v>
      </c>
      <c r="K62" s="194" t="s">
        <v>3110</v>
      </c>
      <c r="L62" s="594" t="s">
        <v>69</v>
      </c>
      <c r="M62" s="108">
        <v>20374</v>
      </c>
      <c r="O62" s="205"/>
    </row>
    <row r="63" spans="1:15" ht="15.75" thickBot="1" x14ac:dyDescent="0.3">
      <c r="A63" s="189" t="s">
        <v>3991</v>
      </c>
      <c r="B63" s="345" t="s">
        <v>3960</v>
      </c>
      <c r="C63" s="252" t="s">
        <v>4203</v>
      </c>
      <c r="D63" s="90">
        <v>37.666666999999997</v>
      </c>
      <c r="E63" s="90">
        <v>32.828055999999997</v>
      </c>
      <c r="F63" s="116">
        <f t="shared" si="3"/>
        <v>6415</v>
      </c>
      <c r="G63" s="115">
        <v>6450</v>
      </c>
      <c r="H63" s="115">
        <v>6380</v>
      </c>
      <c r="I63" s="97" t="s">
        <v>531</v>
      </c>
      <c r="J63" s="593" t="s">
        <v>69</v>
      </c>
      <c r="K63" s="194" t="s">
        <v>3110</v>
      </c>
      <c r="L63" s="594" t="s">
        <v>69</v>
      </c>
      <c r="M63" s="108">
        <v>20351</v>
      </c>
      <c r="O63" s="205"/>
    </row>
    <row r="64" spans="1:15" ht="15.75" thickBot="1" x14ac:dyDescent="0.3">
      <c r="A64" s="328" t="s">
        <v>3959</v>
      </c>
      <c r="B64" s="345" t="s">
        <v>3960</v>
      </c>
      <c r="C64" s="252" t="s">
        <v>4203</v>
      </c>
      <c r="D64" s="90">
        <v>37.666666999999997</v>
      </c>
      <c r="E64" s="90">
        <v>32.828055999999997</v>
      </c>
      <c r="F64" s="116">
        <f t="shared" si="3"/>
        <v>6562.5</v>
      </c>
      <c r="G64" s="197">
        <v>6645</v>
      </c>
      <c r="H64" s="115">
        <v>6480</v>
      </c>
      <c r="I64" s="174" t="s">
        <v>352</v>
      </c>
      <c r="J64" s="593" t="s">
        <v>69</v>
      </c>
      <c r="K64" s="194" t="s">
        <v>3110</v>
      </c>
      <c r="L64" s="594" t="s">
        <v>2</v>
      </c>
      <c r="M64" s="108" t="s">
        <v>3964</v>
      </c>
      <c r="N64" s="230">
        <v>30006</v>
      </c>
      <c r="O64" s="205"/>
    </row>
    <row r="65" spans="1:15" ht="15.75" thickBot="1" x14ac:dyDescent="0.3">
      <c r="A65" s="328" t="s">
        <v>3959</v>
      </c>
      <c r="B65" s="345" t="s">
        <v>3960</v>
      </c>
      <c r="C65" s="252" t="s">
        <v>4203</v>
      </c>
      <c r="D65" s="90">
        <v>37.666666999999997</v>
      </c>
      <c r="E65" s="90">
        <v>32.828055999999997</v>
      </c>
      <c r="F65" s="116">
        <f t="shared" si="3"/>
        <v>6570.3333333333339</v>
      </c>
      <c r="G65" s="197">
        <f>(G64+G66+G67+G68+G69+G70+G72+G75+G76+G77+G126+G127)/12</f>
        <v>6657.166666666667</v>
      </c>
      <c r="H65" s="115">
        <f>(H64+H66+H67+H68+H69+H70+H72+H75+H76+H77+H126+H127)/12</f>
        <v>6483.5</v>
      </c>
      <c r="I65" s="97" t="s">
        <v>58</v>
      </c>
      <c r="J65" s="593" t="s">
        <v>69</v>
      </c>
      <c r="K65" s="194" t="s">
        <v>3110</v>
      </c>
      <c r="L65" s="594" t="s">
        <v>2</v>
      </c>
      <c r="M65" s="108" t="s">
        <v>3988</v>
      </c>
      <c r="N65" s="230">
        <v>8587</v>
      </c>
      <c r="O65" s="205" t="s">
        <v>3990</v>
      </c>
    </row>
    <row r="66" spans="1:15" ht="15.75" thickBot="1" x14ac:dyDescent="0.3">
      <c r="A66" s="328" t="s">
        <v>3959</v>
      </c>
      <c r="B66" s="345" t="s">
        <v>3960</v>
      </c>
      <c r="C66" s="252" t="s">
        <v>4203</v>
      </c>
      <c r="D66" s="90">
        <v>37.666666999999997</v>
      </c>
      <c r="E66" s="90">
        <v>32.828055999999997</v>
      </c>
      <c r="F66" s="116">
        <f t="shared" si="3"/>
        <v>6600</v>
      </c>
      <c r="G66" s="197">
        <v>6695</v>
      </c>
      <c r="H66" s="115">
        <v>6505</v>
      </c>
      <c r="I66" s="174" t="s">
        <v>6</v>
      </c>
      <c r="J66" s="593" t="s">
        <v>69</v>
      </c>
      <c r="K66" s="194" t="s">
        <v>3110</v>
      </c>
      <c r="L66" s="594" t="s">
        <v>2</v>
      </c>
      <c r="M66" s="108" t="s">
        <v>3973</v>
      </c>
      <c r="N66" s="230">
        <v>2728</v>
      </c>
      <c r="O66" s="205"/>
    </row>
    <row r="67" spans="1:15" ht="15.75" thickBot="1" x14ac:dyDescent="0.3">
      <c r="A67" s="328" t="s">
        <v>3959</v>
      </c>
      <c r="B67" s="345" t="s">
        <v>3960</v>
      </c>
      <c r="C67" s="252" t="s">
        <v>4203</v>
      </c>
      <c r="D67" s="90">
        <v>37.666666999999997</v>
      </c>
      <c r="E67" s="90">
        <v>32.828055999999997</v>
      </c>
      <c r="F67" s="116">
        <f t="shared" si="3"/>
        <v>6597.5</v>
      </c>
      <c r="G67" s="197">
        <v>6690</v>
      </c>
      <c r="H67" s="115">
        <v>6505</v>
      </c>
      <c r="I67" s="174" t="s">
        <v>6</v>
      </c>
      <c r="J67" s="593" t="s">
        <v>69</v>
      </c>
      <c r="K67" s="194" t="s">
        <v>3110</v>
      </c>
      <c r="L67" s="594" t="s">
        <v>2</v>
      </c>
      <c r="M67" s="108" t="s">
        <v>3974</v>
      </c>
      <c r="N67" s="230">
        <v>2842</v>
      </c>
      <c r="O67" s="205"/>
    </row>
    <row r="68" spans="1:15" ht="15.75" thickBot="1" x14ac:dyDescent="0.3">
      <c r="A68" s="328" t="s">
        <v>3959</v>
      </c>
      <c r="B68" s="345" t="s">
        <v>3960</v>
      </c>
      <c r="C68" s="252" t="s">
        <v>4203</v>
      </c>
      <c r="D68" s="90">
        <v>37.666666999999997</v>
      </c>
      <c r="E68" s="90">
        <v>32.828055999999997</v>
      </c>
      <c r="F68" s="116">
        <f t="shared" si="3"/>
        <v>6705</v>
      </c>
      <c r="G68" s="197">
        <v>6815</v>
      </c>
      <c r="H68" s="115">
        <v>6595</v>
      </c>
      <c r="I68" s="97" t="s">
        <v>109</v>
      </c>
      <c r="J68" s="593" t="s">
        <v>69</v>
      </c>
      <c r="K68" s="194" t="s">
        <v>3110</v>
      </c>
      <c r="L68" s="594" t="s">
        <v>2</v>
      </c>
      <c r="M68" s="108" t="s">
        <v>3979</v>
      </c>
      <c r="N68" s="230">
        <v>2017</v>
      </c>
      <c r="O68" s="205"/>
    </row>
    <row r="69" spans="1:15" ht="15.75" thickBot="1" x14ac:dyDescent="0.3">
      <c r="A69" s="328" t="s">
        <v>3959</v>
      </c>
      <c r="B69" s="345" t="s">
        <v>3960</v>
      </c>
      <c r="C69" s="252" t="s">
        <v>4203</v>
      </c>
      <c r="D69" s="90">
        <v>37.666666999999997</v>
      </c>
      <c r="E69" s="90">
        <v>32.828055999999997</v>
      </c>
      <c r="F69" s="116">
        <f t="shared" si="3"/>
        <v>6905</v>
      </c>
      <c r="G69" s="197">
        <v>6905</v>
      </c>
      <c r="H69" s="115">
        <v>6905</v>
      </c>
      <c r="I69" s="174" t="s">
        <v>6</v>
      </c>
      <c r="J69" s="593" t="s">
        <v>133</v>
      </c>
      <c r="K69" s="194" t="s">
        <v>3110</v>
      </c>
      <c r="L69" s="594" t="s">
        <v>2</v>
      </c>
      <c r="M69" s="108" t="s">
        <v>3980</v>
      </c>
      <c r="N69" s="230">
        <v>1885</v>
      </c>
      <c r="O69" s="205"/>
    </row>
    <row r="70" spans="1:15" x14ac:dyDescent="0.25">
      <c r="A70" s="328" t="s">
        <v>3959</v>
      </c>
      <c r="B70" s="345" t="s">
        <v>3960</v>
      </c>
      <c r="C70" s="252" t="s">
        <v>4203</v>
      </c>
      <c r="D70" s="90">
        <v>37.666666999999997</v>
      </c>
      <c r="E70" s="90">
        <v>32.828055999999997</v>
      </c>
      <c r="F70" s="116">
        <f t="shared" si="3"/>
        <v>6640</v>
      </c>
      <c r="G70" s="197">
        <v>6690</v>
      </c>
      <c r="H70" s="115">
        <v>6590</v>
      </c>
      <c r="I70" s="97" t="s">
        <v>3986</v>
      </c>
      <c r="J70" s="593" t="s">
        <v>3989</v>
      </c>
      <c r="K70" s="194" t="s">
        <v>3110</v>
      </c>
      <c r="L70" s="594" t="s">
        <v>2</v>
      </c>
      <c r="M70" s="108" t="s">
        <v>3981</v>
      </c>
      <c r="N70" s="230">
        <v>2033</v>
      </c>
      <c r="O70" s="205"/>
    </row>
    <row r="71" spans="1:15" x14ac:dyDescent="0.25">
      <c r="A71" s="328" t="s">
        <v>3959</v>
      </c>
      <c r="B71" s="345" t="s">
        <v>3960</v>
      </c>
      <c r="C71" s="252" t="s">
        <v>4203</v>
      </c>
      <c r="D71" s="90">
        <v>37.666666999999997</v>
      </c>
      <c r="E71" s="90">
        <v>32.828055999999997</v>
      </c>
      <c r="F71" s="116">
        <f t="shared" si="3"/>
        <v>6570.3333333333339</v>
      </c>
      <c r="G71" s="197">
        <f>(G64+G66+G67+G68+G69+G70+G72+G75+G76+G77+G126+G127)/12</f>
        <v>6657.166666666667</v>
      </c>
      <c r="H71" s="115">
        <f>(H64+H66+H67+H68+H69+H70+H72+H75+H76+H77+H126+H127)/12</f>
        <v>6483.5</v>
      </c>
      <c r="I71" s="97" t="s">
        <v>2314</v>
      </c>
      <c r="J71" s="593" t="s">
        <v>147</v>
      </c>
      <c r="K71" s="194" t="s">
        <v>3110</v>
      </c>
      <c r="L71" s="594" t="s">
        <v>2</v>
      </c>
      <c r="M71" s="108" t="s">
        <v>3982</v>
      </c>
      <c r="N71" s="230">
        <v>2779</v>
      </c>
      <c r="O71" s="205" t="s">
        <v>3990</v>
      </c>
    </row>
    <row r="72" spans="1:15" x14ac:dyDescent="0.25">
      <c r="A72" s="328" t="s">
        <v>3959</v>
      </c>
      <c r="B72" s="345" t="s">
        <v>3960</v>
      </c>
      <c r="C72" s="252" t="s">
        <v>4203</v>
      </c>
      <c r="D72" s="90">
        <v>37.666666999999997</v>
      </c>
      <c r="E72" s="90">
        <v>32.828055999999997</v>
      </c>
      <c r="F72" s="116">
        <f t="shared" si="3"/>
        <v>6842.5</v>
      </c>
      <c r="G72" s="197">
        <v>7035</v>
      </c>
      <c r="H72" s="115">
        <v>6650</v>
      </c>
      <c r="I72" s="97" t="s">
        <v>128</v>
      </c>
      <c r="J72" s="593" t="s">
        <v>147</v>
      </c>
      <c r="K72" s="194" t="s">
        <v>3110</v>
      </c>
      <c r="L72" s="594" t="s">
        <v>14</v>
      </c>
      <c r="M72" s="108" t="s">
        <v>3977</v>
      </c>
      <c r="N72" s="230">
        <v>5357</v>
      </c>
      <c r="O72" s="205"/>
    </row>
    <row r="73" spans="1:15" ht="15.75" thickBot="1" x14ac:dyDescent="0.3">
      <c r="A73" s="328" t="s">
        <v>3959</v>
      </c>
      <c r="B73" s="345" t="s">
        <v>3960</v>
      </c>
      <c r="C73" s="252" t="s">
        <v>4203</v>
      </c>
      <c r="D73" s="90">
        <v>37.666666999999997</v>
      </c>
      <c r="E73" s="90">
        <v>32.828055999999997</v>
      </c>
      <c r="F73" s="116">
        <f t="shared" si="3"/>
        <v>6570.3333333333339</v>
      </c>
      <c r="G73" s="197">
        <f>(G64+G66+G67+G68+G69+G70+G72+G75+G76+G77+G126+G127)/12</f>
        <v>6657.166666666667</v>
      </c>
      <c r="H73" s="115">
        <f>(H64+H66+H67+H68+H69+H70+H72+H75+H76+H77+H126+H127)/12</f>
        <v>6483.5</v>
      </c>
      <c r="I73" s="97" t="s">
        <v>956</v>
      </c>
      <c r="J73" s="593" t="s">
        <v>69</v>
      </c>
      <c r="K73" s="194" t="s">
        <v>3110</v>
      </c>
      <c r="L73" s="594" t="s">
        <v>2</v>
      </c>
      <c r="M73" s="108" t="s">
        <v>3978</v>
      </c>
      <c r="N73" s="230">
        <v>21855</v>
      </c>
      <c r="O73" s="205" t="s">
        <v>3990</v>
      </c>
    </row>
    <row r="74" spans="1:15" ht="15.75" thickBot="1" x14ac:dyDescent="0.3">
      <c r="A74" s="328" t="s">
        <v>3959</v>
      </c>
      <c r="B74" s="345" t="s">
        <v>3960</v>
      </c>
      <c r="C74" s="252" t="s">
        <v>4203</v>
      </c>
      <c r="D74" s="90">
        <v>37.666666999999997</v>
      </c>
      <c r="E74" s="90">
        <v>32.828055999999997</v>
      </c>
      <c r="F74" s="116">
        <f t="shared" si="3"/>
        <v>6570.3333333333339</v>
      </c>
      <c r="G74" s="197">
        <f>(G64+G66+G67+G68+G69+G70+G72+G75+G76+G77+G126+G127)/12</f>
        <v>6657.166666666667</v>
      </c>
      <c r="H74" s="115">
        <f>(H64+H66+H67+H68+H69+H70+H72+H75+H76+H77+H126+H127)/12</f>
        <v>6483.5</v>
      </c>
      <c r="I74" s="174" t="s">
        <v>3987</v>
      </c>
      <c r="J74" s="593" t="s">
        <v>69</v>
      </c>
      <c r="K74" s="194" t="s">
        <v>3110</v>
      </c>
      <c r="L74" s="594" t="s">
        <v>2</v>
      </c>
      <c r="M74" s="108" t="s">
        <v>3976</v>
      </c>
      <c r="N74" s="230">
        <v>21981</v>
      </c>
      <c r="O74" s="205" t="s">
        <v>3990</v>
      </c>
    </row>
    <row r="75" spans="1:15" ht="15.75" thickBot="1" x14ac:dyDescent="0.3">
      <c r="A75" s="328" t="s">
        <v>3959</v>
      </c>
      <c r="B75" s="345" t="s">
        <v>3960</v>
      </c>
      <c r="C75" s="252" t="s">
        <v>4203</v>
      </c>
      <c r="D75" s="90">
        <v>37.666666999999997</v>
      </c>
      <c r="E75" s="90">
        <v>32.828055999999997</v>
      </c>
      <c r="F75" s="116">
        <f t="shared" si="3"/>
        <v>6565</v>
      </c>
      <c r="G75" s="197">
        <v>6640</v>
      </c>
      <c r="H75" s="115">
        <v>6490</v>
      </c>
      <c r="I75" s="97" t="s">
        <v>138</v>
      </c>
      <c r="J75" s="593" t="s">
        <v>69</v>
      </c>
      <c r="K75" s="194" t="s">
        <v>3110</v>
      </c>
      <c r="L75" s="594" t="s">
        <v>2</v>
      </c>
      <c r="M75" s="108" t="s">
        <v>3975</v>
      </c>
      <c r="N75" s="230">
        <v>5747</v>
      </c>
      <c r="O75" s="205"/>
    </row>
    <row r="76" spans="1:15" ht="15.75" thickBot="1" x14ac:dyDescent="0.3">
      <c r="A76" s="328" t="s">
        <v>3959</v>
      </c>
      <c r="B76" s="345" t="s">
        <v>3960</v>
      </c>
      <c r="C76" s="252" t="s">
        <v>4203</v>
      </c>
      <c r="D76" s="90">
        <v>37.666666999999997</v>
      </c>
      <c r="E76" s="90">
        <v>32.828055999999997</v>
      </c>
      <c r="F76" s="116">
        <f t="shared" si="3"/>
        <v>6155</v>
      </c>
      <c r="G76" s="197">
        <v>6235</v>
      </c>
      <c r="H76" s="115">
        <v>6075</v>
      </c>
      <c r="I76" s="174" t="s">
        <v>2920</v>
      </c>
      <c r="J76" s="593" t="s">
        <v>69</v>
      </c>
      <c r="K76" s="194" t="s">
        <v>3110</v>
      </c>
      <c r="L76" s="594" t="s">
        <v>2</v>
      </c>
      <c r="M76" s="108" t="s">
        <v>3983</v>
      </c>
      <c r="N76" s="230">
        <v>11739</v>
      </c>
      <c r="O76" s="205"/>
    </row>
    <row r="77" spans="1:15" ht="15.75" thickBot="1" x14ac:dyDescent="0.3">
      <c r="A77" s="328" t="s">
        <v>3959</v>
      </c>
      <c r="B77" s="345" t="s">
        <v>3960</v>
      </c>
      <c r="C77" s="252" t="s">
        <v>4203</v>
      </c>
      <c r="D77" s="90">
        <v>37.666666999999997</v>
      </c>
      <c r="E77" s="90">
        <v>32.828055999999997</v>
      </c>
      <c r="F77" s="116">
        <f t="shared" si="3"/>
        <v>6327.5</v>
      </c>
      <c r="G77" s="197">
        <v>6415</v>
      </c>
      <c r="H77" s="115">
        <v>6240</v>
      </c>
      <c r="I77" s="174" t="s">
        <v>585</v>
      </c>
      <c r="J77" s="593" t="s">
        <v>69</v>
      </c>
      <c r="K77" s="194" t="s">
        <v>3110</v>
      </c>
      <c r="L77" s="594" t="s">
        <v>2</v>
      </c>
      <c r="M77" s="108" t="s">
        <v>3984</v>
      </c>
      <c r="N77" s="230">
        <v>20217</v>
      </c>
      <c r="O77" s="205"/>
    </row>
    <row r="78" spans="1:15" x14ac:dyDescent="0.25">
      <c r="A78" s="328" t="s">
        <v>3959</v>
      </c>
      <c r="B78" s="345" t="s">
        <v>3961</v>
      </c>
      <c r="C78" s="252" t="s">
        <v>4203</v>
      </c>
      <c r="D78" s="90">
        <v>38.348889</v>
      </c>
      <c r="E78" s="90">
        <v>34.229999999999997</v>
      </c>
      <c r="F78" s="116">
        <f t="shared" si="3"/>
        <v>7530</v>
      </c>
      <c r="G78" s="197">
        <v>7585</v>
      </c>
      <c r="H78" s="115">
        <v>7475</v>
      </c>
      <c r="I78" s="97" t="s">
        <v>2314</v>
      </c>
      <c r="J78" s="593" t="s">
        <v>69</v>
      </c>
      <c r="K78" s="194" t="s">
        <v>3110</v>
      </c>
      <c r="L78" s="594" t="s">
        <v>2</v>
      </c>
      <c r="M78" s="108" t="s">
        <v>3965</v>
      </c>
      <c r="O78" s="205" t="s">
        <v>3963</v>
      </c>
    </row>
    <row r="79" spans="1:15" x14ac:dyDescent="0.25">
      <c r="A79" s="328" t="s">
        <v>3959</v>
      </c>
      <c r="B79" s="345" t="s">
        <v>3961</v>
      </c>
      <c r="C79" s="252" t="s">
        <v>4203</v>
      </c>
      <c r="D79" s="90">
        <v>38.348889</v>
      </c>
      <c r="E79" s="90">
        <v>34.229999999999997</v>
      </c>
      <c r="F79" s="116">
        <f t="shared" si="3"/>
        <v>7770</v>
      </c>
      <c r="G79" s="197">
        <v>7945</v>
      </c>
      <c r="H79" s="115">
        <v>7595</v>
      </c>
      <c r="I79" s="97" t="s">
        <v>3972</v>
      </c>
      <c r="J79" s="593" t="s">
        <v>311</v>
      </c>
      <c r="K79" s="194" t="s">
        <v>3110</v>
      </c>
      <c r="L79" s="594" t="s">
        <v>14</v>
      </c>
      <c r="M79" s="108" t="s">
        <v>3962</v>
      </c>
      <c r="O79" s="205"/>
    </row>
    <row r="80" spans="1:15" ht="15.75" thickBot="1" x14ac:dyDescent="0.3">
      <c r="A80" s="328" t="s">
        <v>3959</v>
      </c>
      <c r="B80" s="345" t="s">
        <v>3961</v>
      </c>
      <c r="C80" s="252" t="s">
        <v>4203</v>
      </c>
      <c r="D80" s="90">
        <v>38.348889</v>
      </c>
      <c r="E80" s="90">
        <v>34.229999999999997</v>
      </c>
      <c r="F80" s="116">
        <f t="shared" si="3"/>
        <v>7762.5</v>
      </c>
      <c r="G80" s="197">
        <v>7935</v>
      </c>
      <c r="H80" s="115">
        <v>7590</v>
      </c>
      <c r="I80" s="97" t="s">
        <v>128</v>
      </c>
      <c r="J80" s="593" t="s">
        <v>69</v>
      </c>
      <c r="K80" s="194" t="s">
        <v>3110</v>
      </c>
      <c r="L80" s="594" t="s">
        <v>2</v>
      </c>
      <c r="M80" s="108" t="s">
        <v>3966</v>
      </c>
      <c r="O80" s="205"/>
    </row>
    <row r="81" spans="1:15" ht="15.75" thickBot="1" x14ac:dyDescent="0.3">
      <c r="A81" s="328" t="s">
        <v>3959</v>
      </c>
      <c r="B81" s="345" t="s">
        <v>3961</v>
      </c>
      <c r="C81" s="252" t="s">
        <v>4203</v>
      </c>
      <c r="D81" s="90">
        <v>38.348889</v>
      </c>
      <c r="E81" s="90">
        <v>34.229999999999997</v>
      </c>
      <c r="F81" s="116">
        <f t="shared" si="3"/>
        <v>8090</v>
      </c>
      <c r="G81" s="197">
        <v>8225</v>
      </c>
      <c r="H81" s="115">
        <v>7955</v>
      </c>
      <c r="I81" s="174" t="s">
        <v>352</v>
      </c>
      <c r="J81" s="593" t="s">
        <v>69</v>
      </c>
      <c r="K81" s="194" t="s">
        <v>3110</v>
      </c>
      <c r="L81" s="594" t="s">
        <v>2</v>
      </c>
      <c r="M81" s="108" t="s">
        <v>3967</v>
      </c>
      <c r="O81" s="205"/>
    </row>
    <row r="82" spans="1:15" ht="15.75" thickBot="1" x14ac:dyDescent="0.3">
      <c r="A82" s="328" t="s">
        <v>3959</v>
      </c>
      <c r="B82" s="345" t="s">
        <v>3961</v>
      </c>
      <c r="C82" s="252" t="s">
        <v>4203</v>
      </c>
      <c r="D82" s="90">
        <v>38.348889</v>
      </c>
      <c r="E82" s="90">
        <v>34.229999999999997</v>
      </c>
      <c r="F82" s="116">
        <f t="shared" si="3"/>
        <v>7952.5</v>
      </c>
      <c r="G82" s="197">
        <v>8170</v>
      </c>
      <c r="H82" s="115">
        <v>7735</v>
      </c>
      <c r="I82" s="174" t="s">
        <v>352</v>
      </c>
      <c r="J82" s="593" t="s">
        <v>69</v>
      </c>
      <c r="K82" s="194" t="s">
        <v>3110</v>
      </c>
      <c r="L82" s="594" t="s">
        <v>2</v>
      </c>
      <c r="M82" s="108" t="s">
        <v>3968</v>
      </c>
      <c r="O82" s="205"/>
    </row>
    <row r="83" spans="1:15" ht="15.75" thickBot="1" x14ac:dyDescent="0.3">
      <c r="A83" s="328" t="s">
        <v>3959</v>
      </c>
      <c r="B83" s="345" t="s">
        <v>3961</v>
      </c>
      <c r="C83" s="252" t="s">
        <v>4203</v>
      </c>
      <c r="D83" s="90">
        <v>38.348889</v>
      </c>
      <c r="E83" s="90">
        <v>34.229999999999997</v>
      </c>
      <c r="F83" s="116">
        <f t="shared" si="3"/>
        <v>7952.5</v>
      </c>
      <c r="G83" s="197">
        <v>8170</v>
      </c>
      <c r="H83" s="115">
        <v>7735</v>
      </c>
      <c r="I83" s="174" t="s">
        <v>352</v>
      </c>
      <c r="J83" s="593" t="s">
        <v>69</v>
      </c>
      <c r="K83" s="194" t="s">
        <v>3110</v>
      </c>
      <c r="L83" s="594" t="s">
        <v>2</v>
      </c>
      <c r="M83" s="108" t="s">
        <v>3969</v>
      </c>
      <c r="O83" s="205"/>
    </row>
    <row r="84" spans="1:15" x14ac:dyDescent="0.25">
      <c r="A84" s="328" t="s">
        <v>3959</v>
      </c>
      <c r="B84" s="345" t="s">
        <v>3961</v>
      </c>
      <c r="C84" s="252" t="s">
        <v>4203</v>
      </c>
      <c r="D84" s="90">
        <v>38.348889</v>
      </c>
      <c r="E84" s="90">
        <v>34.229999999999997</v>
      </c>
      <c r="F84" s="116">
        <f t="shared" si="3"/>
        <v>7970</v>
      </c>
      <c r="G84" s="197">
        <v>8200</v>
      </c>
      <c r="H84" s="115">
        <v>7740</v>
      </c>
      <c r="I84" s="97" t="s">
        <v>3985</v>
      </c>
      <c r="J84" s="593" t="s">
        <v>69</v>
      </c>
      <c r="K84" s="194" t="s">
        <v>3110</v>
      </c>
      <c r="L84" s="594" t="s">
        <v>2</v>
      </c>
      <c r="M84" s="108" t="s">
        <v>3970</v>
      </c>
      <c r="O84" s="205"/>
    </row>
    <row r="85" spans="1:15" x14ac:dyDescent="0.25">
      <c r="A85" s="328" t="s">
        <v>3959</v>
      </c>
      <c r="B85" s="345" t="s">
        <v>3961</v>
      </c>
      <c r="C85" s="252" t="s">
        <v>4203</v>
      </c>
      <c r="D85" s="90">
        <v>38.348889</v>
      </c>
      <c r="E85" s="90">
        <v>34.229999999999997</v>
      </c>
      <c r="F85" s="116">
        <f t="shared" si="3"/>
        <v>7915</v>
      </c>
      <c r="G85" s="197">
        <v>8175</v>
      </c>
      <c r="H85" s="115">
        <v>7655</v>
      </c>
      <c r="I85" s="97" t="s">
        <v>3985</v>
      </c>
      <c r="J85" s="593" t="s">
        <v>69</v>
      </c>
      <c r="K85" s="194" t="s">
        <v>3110</v>
      </c>
      <c r="L85" s="594" t="s">
        <v>2</v>
      </c>
      <c r="M85" s="108" t="s">
        <v>3971</v>
      </c>
      <c r="O85" s="205"/>
    </row>
    <row r="86" spans="1:15" s="2" customFormat="1" x14ac:dyDescent="0.25">
      <c r="A86" s="665" t="s">
        <v>4246</v>
      </c>
      <c r="B86" s="669"/>
      <c r="C86" s="670"/>
      <c r="D86" s="682">
        <f>AVERAGE(D40:D85)</f>
        <v>37.856328695652174</v>
      </c>
      <c r="E86" s="682">
        <f>AVERAGE(E40:E85)</f>
        <v>33.258768347826084</v>
      </c>
      <c r="F86" s="683">
        <f>AVERAGE(F40:F85)</f>
        <v>7061.4528985507259</v>
      </c>
      <c r="G86" s="17"/>
      <c r="H86" s="112"/>
      <c r="I86" s="320"/>
      <c r="J86" s="40"/>
      <c r="K86" s="194"/>
      <c r="L86" s="17"/>
      <c r="M86" s="108"/>
      <c r="N86" s="354"/>
      <c r="O86" s="325"/>
    </row>
    <row r="87" spans="1:15" s="2" customFormat="1" x14ac:dyDescent="0.25">
      <c r="A87" s="87"/>
      <c r="B87" s="356"/>
      <c r="C87" s="355"/>
      <c r="D87" s="41"/>
      <c r="E87" s="41"/>
      <c r="F87" s="116"/>
      <c r="G87" s="17"/>
      <c r="H87" s="112"/>
      <c r="I87" s="40"/>
      <c r="J87" s="40"/>
      <c r="K87" s="194"/>
      <c r="L87" s="17"/>
      <c r="M87" s="108"/>
      <c r="N87" s="354"/>
      <c r="O87" s="61"/>
    </row>
    <row r="88" spans="1:15" s="2" customFormat="1" x14ac:dyDescent="0.25">
      <c r="A88" s="665" t="s">
        <v>4247</v>
      </c>
      <c r="B88" s="356"/>
      <c r="C88" s="355"/>
      <c r="D88" s="41"/>
      <c r="E88" s="41"/>
      <c r="F88" s="116"/>
      <c r="G88" s="17"/>
      <c r="H88" s="112"/>
      <c r="I88" s="40"/>
      <c r="J88" s="40"/>
      <c r="K88" s="194"/>
      <c r="L88" s="17"/>
      <c r="M88" s="108"/>
      <c r="N88" s="354"/>
      <c r="O88" s="61"/>
    </row>
    <row r="89" spans="1:15" s="100" customFormat="1" ht="32.450000000000003" customHeight="1" x14ac:dyDescent="0.25">
      <c r="A89" s="507" t="s">
        <v>4291</v>
      </c>
      <c r="B89" s="508" t="s">
        <v>1247</v>
      </c>
      <c r="C89" s="509" t="s">
        <v>0</v>
      </c>
      <c r="D89" s="510" t="s">
        <v>969</v>
      </c>
      <c r="E89" s="510" t="s">
        <v>2323</v>
      </c>
      <c r="F89" s="510" t="s">
        <v>398</v>
      </c>
      <c r="G89" s="511" t="s">
        <v>399</v>
      </c>
      <c r="H89" s="512" t="s">
        <v>400</v>
      </c>
      <c r="I89" s="101" t="s">
        <v>2322</v>
      </c>
      <c r="J89" s="589" t="s">
        <v>3927</v>
      </c>
      <c r="K89" s="590" t="s">
        <v>3250</v>
      </c>
      <c r="L89" s="591" t="s">
        <v>1</v>
      </c>
      <c r="M89" s="590" t="s">
        <v>3486</v>
      </c>
      <c r="N89" s="640" t="s">
        <v>3487</v>
      </c>
      <c r="O89" s="339" t="s">
        <v>2324</v>
      </c>
    </row>
    <row r="90" spans="1:15" s="45" customFormat="1" x14ac:dyDescent="0.25">
      <c r="A90" s="107" t="s">
        <v>383</v>
      </c>
      <c r="B90" s="346" t="s">
        <v>4196</v>
      </c>
      <c r="C90" s="238" t="s">
        <v>4194</v>
      </c>
      <c r="D90" s="41">
        <v>40.26</v>
      </c>
      <c r="E90" s="41">
        <v>29.65</v>
      </c>
      <c r="F90" s="116">
        <f t="shared" ref="F90:F110" si="4">(G90+H90)/2</f>
        <v>6000</v>
      </c>
      <c r="G90" s="27">
        <v>6400</v>
      </c>
      <c r="H90" s="112">
        <v>5600</v>
      </c>
      <c r="I90" s="97" t="s">
        <v>128</v>
      </c>
      <c r="J90" s="40" t="s">
        <v>69</v>
      </c>
      <c r="K90" s="194" t="s">
        <v>3108</v>
      </c>
      <c r="L90" s="17" t="s">
        <v>2</v>
      </c>
      <c r="M90" s="108" t="s">
        <v>319</v>
      </c>
      <c r="N90" s="230" t="s">
        <v>3908</v>
      </c>
      <c r="O90" s="205" t="s">
        <v>3909</v>
      </c>
    </row>
    <row r="91" spans="1:15" s="45" customFormat="1" ht="15.75" thickBot="1" x14ac:dyDescent="0.3">
      <c r="A91" s="107" t="s">
        <v>383</v>
      </c>
      <c r="B91" s="346" t="s">
        <v>4196</v>
      </c>
      <c r="C91" s="238" t="s">
        <v>4194</v>
      </c>
      <c r="D91" s="41">
        <v>40.26</v>
      </c>
      <c r="E91" s="41">
        <v>29.65</v>
      </c>
      <c r="F91" s="116">
        <f t="shared" si="4"/>
        <v>6000</v>
      </c>
      <c r="G91" s="27">
        <v>6400</v>
      </c>
      <c r="H91" s="112">
        <v>5600</v>
      </c>
      <c r="I91" s="97" t="s">
        <v>18</v>
      </c>
      <c r="J91" s="40" t="s">
        <v>69</v>
      </c>
      <c r="K91" s="194" t="s">
        <v>3110</v>
      </c>
      <c r="L91" s="17" t="s">
        <v>2</v>
      </c>
      <c r="M91" s="108" t="s">
        <v>331</v>
      </c>
      <c r="N91" s="230" t="s">
        <v>3912</v>
      </c>
      <c r="O91" s="205" t="s">
        <v>3925</v>
      </c>
    </row>
    <row r="92" spans="1:15" s="45" customFormat="1" ht="15.75" thickBot="1" x14ac:dyDescent="0.3">
      <c r="A92" s="107" t="s">
        <v>383</v>
      </c>
      <c r="B92" s="346" t="s">
        <v>4196</v>
      </c>
      <c r="C92" s="238" t="s">
        <v>4194</v>
      </c>
      <c r="D92" s="41">
        <v>40.26</v>
      </c>
      <c r="E92" s="41">
        <v>29.65</v>
      </c>
      <c r="F92" s="116">
        <f t="shared" si="4"/>
        <v>6000</v>
      </c>
      <c r="G92" s="27">
        <v>6400</v>
      </c>
      <c r="H92" s="112">
        <v>5600</v>
      </c>
      <c r="I92" s="174" t="s">
        <v>126</v>
      </c>
      <c r="J92" s="40" t="s">
        <v>345</v>
      </c>
      <c r="K92" s="194" t="s">
        <v>3110</v>
      </c>
      <c r="L92" s="17" t="s">
        <v>14</v>
      </c>
      <c r="M92" s="108" t="s">
        <v>346</v>
      </c>
      <c r="N92" s="230" t="s">
        <v>3913</v>
      </c>
      <c r="O92" s="205" t="s">
        <v>3914</v>
      </c>
    </row>
    <row r="93" spans="1:15" s="45" customFormat="1" ht="15.75" thickBot="1" x14ac:dyDescent="0.3">
      <c r="A93" s="107" t="s">
        <v>383</v>
      </c>
      <c r="B93" s="346" t="s">
        <v>4196</v>
      </c>
      <c r="C93" s="238" t="s">
        <v>4194</v>
      </c>
      <c r="D93" s="41">
        <v>40.26</v>
      </c>
      <c r="E93" s="41">
        <v>29.65</v>
      </c>
      <c r="F93" s="116">
        <f t="shared" si="4"/>
        <v>6000</v>
      </c>
      <c r="G93" s="27">
        <v>6400</v>
      </c>
      <c r="H93" s="112">
        <v>5600</v>
      </c>
      <c r="I93" s="174" t="s">
        <v>352</v>
      </c>
      <c r="J93" s="40" t="s">
        <v>80</v>
      </c>
      <c r="K93" s="194" t="s">
        <v>3110</v>
      </c>
      <c r="L93" s="17" t="s">
        <v>14</v>
      </c>
      <c r="M93" s="108" t="s">
        <v>354</v>
      </c>
      <c r="N93" s="230" t="s">
        <v>3930</v>
      </c>
      <c r="O93" s="205" t="s">
        <v>3929</v>
      </c>
    </row>
    <row r="94" spans="1:15" s="45" customFormat="1" x14ac:dyDescent="0.25">
      <c r="A94" s="107" t="s">
        <v>383</v>
      </c>
      <c r="B94" s="346" t="s">
        <v>4196</v>
      </c>
      <c r="C94" s="238" t="s">
        <v>4194</v>
      </c>
      <c r="D94" s="41">
        <v>40.26</v>
      </c>
      <c r="E94" s="41">
        <v>29.65</v>
      </c>
      <c r="F94" s="116">
        <f t="shared" si="4"/>
        <v>6000</v>
      </c>
      <c r="G94" s="27">
        <v>6400</v>
      </c>
      <c r="H94" s="112">
        <v>5600</v>
      </c>
      <c r="I94" s="97" t="s">
        <v>370</v>
      </c>
      <c r="J94" s="40" t="s">
        <v>84</v>
      </c>
      <c r="K94" s="194" t="s">
        <v>3110</v>
      </c>
      <c r="L94" s="17" t="s">
        <v>14</v>
      </c>
      <c r="M94" s="108" t="s">
        <v>371</v>
      </c>
      <c r="N94" s="230" t="s">
        <v>3923</v>
      </c>
      <c r="O94" s="205" t="s">
        <v>3924</v>
      </c>
    </row>
    <row r="95" spans="1:15" s="45" customFormat="1" x14ac:dyDescent="0.25">
      <c r="A95" s="107" t="s">
        <v>383</v>
      </c>
      <c r="B95" s="346" t="s">
        <v>4198</v>
      </c>
      <c r="C95" s="238" t="s">
        <v>4194</v>
      </c>
      <c r="D95" s="41">
        <v>40.299999999999997</v>
      </c>
      <c r="E95" s="41">
        <v>29.566666999999999</v>
      </c>
      <c r="F95" s="116">
        <f t="shared" si="4"/>
        <v>6350</v>
      </c>
      <c r="G95" s="27">
        <v>6500</v>
      </c>
      <c r="H95" s="112">
        <v>6200</v>
      </c>
      <c r="I95" s="97" t="s">
        <v>314</v>
      </c>
      <c r="J95" s="40" t="s">
        <v>264</v>
      </c>
      <c r="K95" s="194" t="s">
        <v>3110</v>
      </c>
      <c r="L95" s="17" t="s">
        <v>14</v>
      </c>
      <c r="M95" s="108" t="s">
        <v>315</v>
      </c>
      <c r="N95" s="230" t="s">
        <v>316</v>
      </c>
      <c r="O95" s="205"/>
    </row>
    <row r="96" spans="1:15" s="45" customFormat="1" x14ac:dyDescent="0.25">
      <c r="A96" s="107" t="s">
        <v>383</v>
      </c>
      <c r="B96" s="346" t="s">
        <v>4198</v>
      </c>
      <c r="C96" s="238" t="s">
        <v>4194</v>
      </c>
      <c r="D96" s="41">
        <v>40.299999999999997</v>
      </c>
      <c r="E96" s="41">
        <v>29.566666999999999</v>
      </c>
      <c r="F96" s="116">
        <f t="shared" si="4"/>
        <v>6350</v>
      </c>
      <c r="G96" s="27">
        <v>6500</v>
      </c>
      <c r="H96" s="112">
        <v>6200</v>
      </c>
      <c r="I96" s="97" t="s">
        <v>82</v>
      </c>
      <c r="J96" s="40" t="s">
        <v>69</v>
      </c>
      <c r="K96" s="194" t="s">
        <v>3110</v>
      </c>
      <c r="L96" s="17" t="s">
        <v>2</v>
      </c>
      <c r="M96" s="108" t="s">
        <v>317</v>
      </c>
      <c r="N96" s="230" t="s">
        <v>318</v>
      </c>
      <c r="O96" s="205"/>
    </row>
    <row r="97" spans="1:15" s="45" customFormat="1" x14ac:dyDescent="0.25">
      <c r="A97" s="107" t="s">
        <v>383</v>
      </c>
      <c r="B97" s="346" t="s">
        <v>4198</v>
      </c>
      <c r="C97" s="238" t="s">
        <v>4194</v>
      </c>
      <c r="D97" s="41">
        <v>40.299999999999997</v>
      </c>
      <c r="E97" s="41">
        <v>29.566666999999999</v>
      </c>
      <c r="F97" s="116">
        <f t="shared" si="4"/>
        <v>6350</v>
      </c>
      <c r="G97" s="27">
        <v>6500</v>
      </c>
      <c r="H97" s="112">
        <v>6200</v>
      </c>
      <c r="I97" s="97" t="s">
        <v>128</v>
      </c>
      <c r="J97" s="40" t="s">
        <v>320</v>
      </c>
      <c r="K97" s="194" t="s">
        <v>3110</v>
      </c>
      <c r="L97" s="17" t="s">
        <v>14</v>
      </c>
      <c r="M97" s="253" t="s">
        <v>3910</v>
      </c>
      <c r="N97" s="209" t="s">
        <v>3911</v>
      </c>
      <c r="O97" s="208" t="s">
        <v>321</v>
      </c>
    </row>
    <row r="98" spans="1:15" s="45" customFormat="1" x14ac:dyDescent="0.25">
      <c r="A98" s="107" t="s">
        <v>383</v>
      </c>
      <c r="B98" s="346" t="s">
        <v>4198</v>
      </c>
      <c r="C98" s="238" t="s">
        <v>4194</v>
      </c>
      <c r="D98" s="41">
        <v>40.299999999999997</v>
      </c>
      <c r="E98" s="41">
        <v>29.566666999999999</v>
      </c>
      <c r="F98" s="116">
        <f t="shared" si="4"/>
        <v>6350</v>
      </c>
      <c r="G98" s="27">
        <v>6500</v>
      </c>
      <c r="H98" s="112">
        <v>6200</v>
      </c>
      <c r="I98" s="97" t="s">
        <v>130</v>
      </c>
      <c r="J98" s="40" t="s">
        <v>69</v>
      </c>
      <c r="K98" s="194" t="s">
        <v>3110</v>
      </c>
      <c r="L98" s="17" t="s">
        <v>2</v>
      </c>
      <c r="M98" s="108" t="s">
        <v>322</v>
      </c>
      <c r="N98" s="230" t="s">
        <v>323</v>
      </c>
      <c r="O98" s="205"/>
    </row>
    <row r="99" spans="1:15" s="45" customFormat="1" x14ac:dyDescent="0.25">
      <c r="A99" s="107" t="s">
        <v>383</v>
      </c>
      <c r="B99" s="346" t="s">
        <v>4198</v>
      </c>
      <c r="C99" s="238" t="s">
        <v>4194</v>
      </c>
      <c r="D99" s="41">
        <v>40.299999999999997</v>
      </c>
      <c r="E99" s="41">
        <v>29.566666999999999</v>
      </c>
      <c r="F99" s="116">
        <f t="shared" si="4"/>
        <v>6350</v>
      </c>
      <c r="G99" s="27">
        <v>6500</v>
      </c>
      <c r="H99" s="112">
        <v>6200</v>
      </c>
      <c r="I99" s="97" t="s">
        <v>130</v>
      </c>
      <c r="J99" s="40" t="s">
        <v>69</v>
      </c>
      <c r="K99" s="194" t="s">
        <v>3110</v>
      </c>
      <c r="L99" s="17" t="s">
        <v>2</v>
      </c>
      <c r="M99" s="108" t="s">
        <v>324</v>
      </c>
      <c r="N99" s="230" t="s">
        <v>325</v>
      </c>
      <c r="O99" s="205"/>
    </row>
    <row r="100" spans="1:15" s="45" customFormat="1" x14ac:dyDescent="0.25">
      <c r="A100" s="107" t="s">
        <v>383</v>
      </c>
      <c r="B100" s="346" t="s">
        <v>4198</v>
      </c>
      <c r="C100" s="238" t="s">
        <v>4194</v>
      </c>
      <c r="D100" s="41">
        <v>40.299999999999997</v>
      </c>
      <c r="E100" s="41">
        <v>29.566666999999999</v>
      </c>
      <c r="F100" s="116">
        <f t="shared" si="4"/>
        <v>6350</v>
      </c>
      <c r="G100" s="27">
        <v>6500</v>
      </c>
      <c r="H100" s="112">
        <v>6200</v>
      </c>
      <c r="I100" s="97" t="s">
        <v>7</v>
      </c>
      <c r="J100" s="40" t="s">
        <v>326</v>
      </c>
      <c r="K100" s="194" t="s">
        <v>3110</v>
      </c>
      <c r="L100" s="17" t="s">
        <v>14</v>
      </c>
      <c r="M100" s="108" t="s">
        <v>327</v>
      </c>
      <c r="N100" s="230" t="s">
        <v>328</v>
      </c>
      <c r="O100" s="205" t="s">
        <v>972</v>
      </c>
    </row>
    <row r="101" spans="1:15" s="45" customFormat="1" x14ac:dyDescent="0.25">
      <c r="A101" s="107" t="s">
        <v>383</v>
      </c>
      <c r="B101" s="346" t="s">
        <v>4198</v>
      </c>
      <c r="C101" s="238" t="s">
        <v>4194</v>
      </c>
      <c r="D101" s="41">
        <v>40.299999999999997</v>
      </c>
      <c r="E101" s="41">
        <v>29.566666999999999</v>
      </c>
      <c r="F101" s="116">
        <f t="shared" si="4"/>
        <v>6350</v>
      </c>
      <c r="G101" s="27">
        <v>6500</v>
      </c>
      <c r="H101" s="112">
        <v>6200</v>
      </c>
      <c r="I101" s="97" t="s">
        <v>7</v>
      </c>
      <c r="J101" s="40" t="s">
        <v>18</v>
      </c>
      <c r="K101" s="194" t="s">
        <v>3110</v>
      </c>
      <c r="L101" s="17" t="s">
        <v>14</v>
      </c>
      <c r="M101" s="108" t="s">
        <v>329</v>
      </c>
      <c r="N101" s="230" t="s">
        <v>330</v>
      </c>
      <c r="O101" s="205" t="s">
        <v>972</v>
      </c>
    </row>
    <row r="102" spans="1:15" s="45" customFormat="1" x14ac:dyDescent="0.25">
      <c r="A102" s="107" t="s">
        <v>383</v>
      </c>
      <c r="B102" s="346" t="s">
        <v>4198</v>
      </c>
      <c r="C102" s="238" t="s">
        <v>4194</v>
      </c>
      <c r="D102" s="41">
        <v>40.299999999999997</v>
      </c>
      <c r="E102" s="41">
        <v>29.566666999999999</v>
      </c>
      <c r="F102" s="116">
        <f t="shared" si="4"/>
        <v>6350</v>
      </c>
      <c r="G102" s="27">
        <v>6500</v>
      </c>
      <c r="H102" s="112">
        <v>6200</v>
      </c>
      <c r="I102" s="97" t="s">
        <v>5</v>
      </c>
      <c r="J102" s="40" t="s">
        <v>69</v>
      </c>
      <c r="K102" s="194" t="s">
        <v>3110</v>
      </c>
      <c r="L102" s="17" t="s">
        <v>2</v>
      </c>
      <c r="M102" s="108" t="s">
        <v>332</v>
      </c>
      <c r="N102" s="230" t="s">
        <v>333</v>
      </c>
      <c r="O102" s="205"/>
    </row>
    <row r="103" spans="1:15" s="45" customFormat="1" ht="15.75" thickBot="1" x14ac:dyDescent="0.3">
      <c r="A103" s="107" t="s">
        <v>383</v>
      </c>
      <c r="B103" s="346" t="s">
        <v>4198</v>
      </c>
      <c r="C103" s="238" t="s">
        <v>4194</v>
      </c>
      <c r="D103" s="41">
        <v>40.299999999999997</v>
      </c>
      <c r="E103" s="41">
        <v>29.566666999999999</v>
      </c>
      <c r="F103" s="116">
        <f t="shared" si="4"/>
        <v>6350</v>
      </c>
      <c r="G103" s="27">
        <v>6500</v>
      </c>
      <c r="H103" s="112">
        <v>6200</v>
      </c>
      <c r="I103" s="97" t="s">
        <v>334</v>
      </c>
      <c r="J103" s="40" t="s">
        <v>335</v>
      </c>
      <c r="K103" s="194" t="s">
        <v>3110</v>
      </c>
      <c r="L103" s="17" t="s">
        <v>14</v>
      </c>
      <c r="M103" s="108" t="s">
        <v>336</v>
      </c>
      <c r="N103" s="230" t="s">
        <v>337</v>
      </c>
      <c r="O103" s="205"/>
    </row>
    <row r="104" spans="1:15" s="45" customFormat="1" ht="15.75" thickBot="1" x14ac:dyDescent="0.3">
      <c r="A104" s="107" t="s">
        <v>383</v>
      </c>
      <c r="B104" s="346" t="s">
        <v>4198</v>
      </c>
      <c r="C104" s="238" t="s">
        <v>4194</v>
      </c>
      <c r="D104" s="41">
        <v>40.299999999999997</v>
      </c>
      <c r="E104" s="41">
        <v>29.566666999999999</v>
      </c>
      <c r="F104" s="116">
        <f t="shared" si="4"/>
        <v>6350</v>
      </c>
      <c r="G104" s="27">
        <v>6500</v>
      </c>
      <c r="H104" s="112">
        <v>6200</v>
      </c>
      <c r="I104" s="174" t="s">
        <v>338</v>
      </c>
      <c r="J104" s="40" t="s">
        <v>339</v>
      </c>
      <c r="K104" s="194" t="s">
        <v>3110</v>
      </c>
      <c r="L104" s="17" t="s">
        <v>14</v>
      </c>
      <c r="M104" s="108" t="s">
        <v>340</v>
      </c>
      <c r="N104" s="230" t="s">
        <v>341</v>
      </c>
      <c r="O104" s="205"/>
    </row>
    <row r="105" spans="1:15" s="45" customFormat="1" ht="15.75" thickBot="1" x14ac:dyDescent="0.3">
      <c r="A105" s="107" t="s">
        <v>383</v>
      </c>
      <c r="B105" s="346" t="s">
        <v>4198</v>
      </c>
      <c r="C105" s="238" t="s">
        <v>4194</v>
      </c>
      <c r="D105" s="41">
        <v>40.299999999999997</v>
      </c>
      <c r="E105" s="41">
        <v>29.566666999999999</v>
      </c>
      <c r="F105" s="116">
        <f t="shared" si="4"/>
        <v>6350</v>
      </c>
      <c r="G105" s="27">
        <v>6500</v>
      </c>
      <c r="H105" s="112">
        <v>6200</v>
      </c>
      <c r="I105" s="174" t="s">
        <v>342</v>
      </c>
      <c r="J105" s="40" t="s">
        <v>69</v>
      </c>
      <c r="K105" s="194" t="s">
        <v>3110</v>
      </c>
      <c r="L105" s="17" t="s">
        <v>2</v>
      </c>
      <c r="M105" s="108" t="s">
        <v>343</v>
      </c>
      <c r="N105" s="230" t="s">
        <v>344</v>
      </c>
      <c r="O105" s="205"/>
    </row>
    <row r="106" spans="1:15" s="45" customFormat="1" ht="15.75" thickBot="1" x14ac:dyDescent="0.3">
      <c r="A106" s="107" t="s">
        <v>383</v>
      </c>
      <c r="B106" s="346" t="s">
        <v>4198</v>
      </c>
      <c r="C106" s="238" t="s">
        <v>4194</v>
      </c>
      <c r="D106" s="41">
        <v>40.299999999999997</v>
      </c>
      <c r="E106" s="41">
        <v>29.566666999999999</v>
      </c>
      <c r="F106" s="116">
        <f t="shared" si="4"/>
        <v>6350</v>
      </c>
      <c r="G106" s="27">
        <v>6500</v>
      </c>
      <c r="H106" s="112">
        <v>6200</v>
      </c>
      <c r="I106" s="174" t="s">
        <v>126</v>
      </c>
      <c r="J106" s="40" t="s">
        <v>326</v>
      </c>
      <c r="K106" s="194" t="s">
        <v>3110</v>
      </c>
      <c r="L106" s="17" t="s">
        <v>14</v>
      </c>
      <c r="M106" s="108" t="s">
        <v>347</v>
      </c>
      <c r="N106" s="230" t="s">
        <v>348</v>
      </c>
      <c r="O106" s="205"/>
    </row>
    <row r="107" spans="1:15" s="45" customFormat="1" ht="15.75" thickBot="1" x14ac:dyDescent="0.3">
      <c r="A107" s="107" t="s">
        <v>383</v>
      </c>
      <c r="B107" s="346" t="s">
        <v>4198</v>
      </c>
      <c r="C107" s="238" t="s">
        <v>4194</v>
      </c>
      <c r="D107" s="41">
        <v>40.299999999999997</v>
      </c>
      <c r="E107" s="41">
        <v>29.566666999999999</v>
      </c>
      <c r="F107" s="116">
        <f t="shared" si="4"/>
        <v>6350</v>
      </c>
      <c r="G107" s="27">
        <v>6500</v>
      </c>
      <c r="H107" s="112">
        <v>6200</v>
      </c>
      <c r="I107" s="174" t="s">
        <v>349</v>
      </c>
      <c r="J107" s="40" t="s">
        <v>147</v>
      </c>
      <c r="K107" s="194" t="s">
        <v>3110</v>
      </c>
      <c r="L107" s="17" t="s">
        <v>14</v>
      </c>
      <c r="M107" s="108" t="s">
        <v>350</v>
      </c>
      <c r="N107" s="230" t="s">
        <v>351</v>
      </c>
      <c r="O107" s="205"/>
    </row>
    <row r="108" spans="1:15" s="45" customFormat="1" ht="15.75" thickBot="1" x14ac:dyDescent="0.3">
      <c r="A108" s="107" t="s">
        <v>383</v>
      </c>
      <c r="B108" s="346" t="s">
        <v>4198</v>
      </c>
      <c r="C108" s="238" t="s">
        <v>4194</v>
      </c>
      <c r="D108" s="41">
        <v>40.299999999999997</v>
      </c>
      <c r="E108" s="41">
        <v>29.566666999999999</v>
      </c>
      <c r="F108" s="116">
        <f t="shared" si="4"/>
        <v>6350</v>
      </c>
      <c r="G108" s="27">
        <v>6500</v>
      </c>
      <c r="H108" s="112">
        <v>6200</v>
      </c>
      <c r="I108" s="174" t="s">
        <v>352</v>
      </c>
      <c r="J108" s="40" t="s">
        <v>69</v>
      </c>
      <c r="K108" s="194" t="s">
        <v>3110</v>
      </c>
      <c r="L108" s="17" t="s">
        <v>2</v>
      </c>
      <c r="M108" s="232" t="s">
        <v>3915</v>
      </c>
      <c r="N108" s="239" t="s">
        <v>3916</v>
      </c>
      <c r="O108" s="205" t="s">
        <v>353</v>
      </c>
    </row>
    <row r="109" spans="1:15" s="45" customFormat="1" ht="15.75" thickBot="1" x14ac:dyDescent="0.3">
      <c r="A109" s="107" t="s">
        <v>383</v>
      </c>
      <c r="B109" s="346" t="s">
        <v>4198</v>
      </c>
      <c r="C109" s="238" t="s">
        <v>4194</v>
      </c>
      <c r="D109" s="41">
        <v>40.299999999999997</v>
      </c>
      <c r="E109" s="41">
        <v>29.566666999999999</v>
      </c>
      <c r="F109" s="116">
        <f t="shared" si="4"/>
        <v>6350</v>
      </c>
      <c r="G109" s="27">
        <v>6500</v>
      </c>
      <c r="H109" s="112">
        <v>6200</v>
      </c>
      <c r="I109" s="174" t="s">
        <v>355</v>
      </c>
      <c r="J109" s="40" t="s">
        <v>69</v>
      </c>
      <c r="K109" s="194" t="s">
        <v>3110</v>
      </c>
      <c r="L109" s="17" t="s">
        <v>2</v>
      </c>
      <c r="M109" s="232" t="s">
        <v>356</v>
      </c>
      <c r="N109" s="239" t="s">
        <v>357</v>
      </c>
      <c r="O109" s="205"/>
    </row>
    <row r="110" spans="1:15" s="45" customFormat="1" ht="15.75" thickBot="1" x14ac:dyDescent="0.3">
      <c r="A110" s="107" t="s">
        <v>383</v>
      </c>
      <c r="B110" s="346" t="s">
        <v>4198</v>
      </c>
      <c r="C110" s="238" t="s">
        <v>4194</v>
      </c>
      <c r="D110" s="41">
        <v>40.299999999999997</v>
      </c>
      <c r="E110" s="41">
        <v>29.566666999999999</v>
      </c>
      <c r="F110" s="116">
        <f t="shared" si="4"/>
        <v>6350</v>
      </c>
      <c r="G110" s="27">
        <v>6500</v>
      </c>
      <c r="H110" s="112">
        <v>6200</v>
      </c>
      <c r="I110" s="174" t="s">
        <v>358</v>
      </c>
      <c r="J110" s="40" t="s">
        <v>359</v>
      </c>
      <c r="K110" s="194" t="s">
        <v>3110</v>
      </c>
      <c r="L110" s="17" t="s">
        <v>14</v>
      </c>
      <c r="M110" s="232" t="s">
        <v>360</v>
      </c>
      <c r="N110" s="257"/>
      <c r="O110" s="208" t="s">
        <v>361</v>
      </c>
    </row>
    <row r="111" spans="1:15" s="45" customFormat="1" ht="15.75" thickBot="1" x14ac:dyDescent="0.3">
      <c r="A111" s="107" t="s">
        <v>4012</v>
      </c>
      <c r="B111" s="346" t="s">
        <v>4198</v>
      </c>
      <c r="C111" s="238" t="s">
        <v>4194</v>
      </c>
      <c r="D111" s="41">
        <v>40.299999999999997</v>
      </c>
      <c r="E111" s="41">
        <v>29.566666999999999</v>
      </c>
      <c r="F111" s="116">
        <v>6348</v>
      </c>
      <c r="G111" s="27">
        <f>F111+90</f>
        <v>6438</v>
      </c>
      <c r="H111" s="115">
        <f>F111-90</f>
        <v>6258</v>
      </c>
      <c r="I111" s="97" t="s">
        <v>566</v>
      </c>
      <c r="J111" s="40" t="s">
        <v>69</v>
      </c>
      <c r="K111" s="194" t="s">
        <v>3110</v>
      </c>
      <c r="L111" s="17" t="s">
        <v>2</v>
      </c>
      <c r="M111" s="325" t="s">
        <v>3928</v>
      </c>
      <c r="N111" s="239" t="s">
        <v>4014</v>
      </c>
      <c r="O111" s="205" t="s">
        <v>4015</v>
      </c>
    </row>
    <row r="112" spans="1:15" s="45" customFormat="1" ht="15.75" thickBot="1" x14ac:dyDescent="0.3">
      <c r="A112" s="107" t="s">
        <v>4012</v>
      </c>
      <c r="B112" s="346" t="s">
        <v>4198</v>
      </c>
      <c r="C112" s="238" t="s">
        <v>4194</v>
      </c>
      <c r="D112" s="41">
        <v>40.299999999999997</v>
      </c>
      <c r="E112" s="41">
        <v>29.566666999999999</v>
      </c>
      <c r="F112" s="116">
        <f t="shared" ref="F112:F117" si="5">(G112+H112)/2</f>
        <v>6350</v>
      </c>
      <c r="G112" s="27">
        <v>6500</v>
      </c>
      <c r="H112" s="112">
        <v>6200</v>
      </c>
      <c r="I112" s="174" t="s">
        <v>126</v>
      </c>
      <c r="J112" s="40" t="s">
        <v>69</v>
      </c>
      <c r="K112" s="194" t="s">
        <v>3110</v>
      </c>
      <c r="L112" s="17" t="s">
        <v>69</v>
      </c>
      <c r="M112" s="232" t="s">
        <v>3917</v>
      </c>
      <c r="N112" s="239" t="s">
        <v>3918</v>
      </c>
      <c r="O112" s="205" t="s">
        <v>4013</v>
      </c>
    </row>
    <row r="113" spans="1:15" s="45" customFormat="1" x14ac:dyDescent="0.25">
      <c r="A113" s="107" t="s">
        <v>383</v>
      </c>
      <c r="B113" s="346" t="s">
        <v>4198</v>
      </c>
      <c r="C113" s="238" t="s">
        <v>4194</v>
      </c>
      <c r="D113" s="41">
        <v>40.299999999999997</v>
      </c>
      <c r="E113" s="41">
        <v>29.566666999999999</v>
      </c>
      <c r="F113" s="116">
        <f t="shared" si="5"/>
        <v>6350</v>
      </c>
      <c r="G113" s="27">
        <v>6500</v>
      </c>
      <c r="H113" s="112">
        <v>6200</v>
      </c>
      <c r="I113" s="97" t="s">
        <v>273</v>
      </c>
      <c r="J113" s="40" t="s">
        <v>69</v>
      </c>
      <c r="K113" s="194" t="s">
        <v>3110</v>
      </c>
      <c r="L113" s="17" t="s">
        <v>2</v>
      </c>
      <c r="M113" s="232" t="s">
        <v>364</v>
      </c>
      <c r="N113" s="239" t="s">
        <v>365</v>
      </c>
      <c r="O113" s="205"/>
    </row>
    <row r="114" spans="1:15" s="45" customFormat="1" x14ac:dyDescent="0.25">
      <c r="A114" s="107" t="s">
        <v>383</v>
      </c>
      <c r="B114" s="346" t="s">
        <v>4198</v>
      </c>
      <c r="C114" s="238" t="s">
        <v>4194</v>
      </c>
      <c r="D114" s="41">
        <v>40.299999999999997</v>
      </c>
      <c r="E114" s="41">
        <v>29.566666999999999</v>
      </c>
      <c r="F114" s="116">
        <f t="shared" si="5"/>
        <v>6350</v>
      </c>
      <c r="G114" s="27">
        <v>6500</v>
      </c>
      <c r="H114" s="112">
        <v>6200</v>
      </c>
      <c r="I114" s="97" t="s">
        <v>366</v>
      </c>
      <c r="J114" s="40" t="s">
        <v>335</v>
      </c>
      <c r="K114" s="194" t="s">
        <v>3110</v>
      </c>
      <c r="L114" s="17" t="s">
        <v>14</v>
      </c>
      <c r="M114" s="232" t="s">
        <v>3919</v>
      </c>
      <c r="N114" s="239" t="s">
        <v>367</v>
      </c>
      <c r="O114" s="205" t="s">
        <v>3920</v>
      </c>
    </row>
    <row r="115" spans="1:15" s="45" customFormat="1" x14ac:dyDescent="0.25">
      <c r="A115" s="107" t="s">
        <v>383</v>
      </c>
      <c r="B115" s="346" t="s">
        <v>4198</v>
      </c>
      <c r="C115" s="238" t="s">
        <v>4194</v>
      </c>
      <c r="D115" s="41">
        <v>40.299999999999997</v>
      </c>
      <c r="E115" s="41">
        <v>29.566666999999999</v>
      </c>
      <c r="F115" s="116">
        <f t="shared" si="5"/>
        <v>6350</v>
      </c>
      <c r="G115" s="27">
        <v>6500</v>
      </c>
      <c r="H115" s="112">
        <v>6200</v>
      </c>
      <c r="I115" s="97" t="s">
        <v>368</v>
      </c>
      <c r="J115" s="40" t="s">
        <v>69</v>
      </c>
      <c r="K115" s="194" t="s">
        <v>3110</v>
      </c>
      <c r="L115" s="17" t="s">
        <v>2</v>
      </c>
      <c r="M115" s="232" t="s">
        <v>3921</v>
      </c>
      <c r="N115" s="239" t="s">
        <v>369</v>
      </c>
      <c r="O115" s="205" t="s">
        <v>3922</v>
      </c>
    </row>
    <row r="116" spans="1:15" s="2" customFormat="1" ht="15.75" thickBot="1" x14ac:dyDescent="0.3">
      <c r="A116" s="107" t="s">
        <v>391</v>
      </c>
      <c r="B116" s="346" t="s">
        <v>4198</v>
      </c>
      <c r="C116" s="238" t="s">
        <v>4194</v>
      </c>
      <c r="D116" s="41">
        <v>40.299999999999997</v>
      </c>
      <c r="E116" s="41">
        <v>29.566666999999999</v>
      </c>
      <c r="F116" s="116">
        <f t="shared" si="5"/>
        <v>6328.5</v>
      </c>
      <c r="G116" s="27">
        <v>6419</v>
      </c>
      <c r="H116" s="112">
        <v>6238</v>
      </c>
      <c r="I116" s="97" t="s">
        <v>310</v>
      </c>
      <c r="J116" s="40" t="s">
        <v>311</v>
      </c>
      <c r="K116" s="194" t="s">
        <v>3110</v>
      </c>
      <c r="L116" s="17" t="s">
        <v>14</v>
      </c>
      <c r="M116" s="108" t="s">
        <v>312</v>
      </c>
      <c r="N116" s="230"/>
      <c r="O116" s="205" t="s">
        <v>3906</v>
      </c>
    </row>
    <row r="117" spans="1:15" s="2" customFormat="1" ht="15.75" thickBot="1" x14ac:dyDescent="0.3">
      <c r="A117" s="107" t="s">
        <v>3907</v>
      </c>
      <c r="B117" s="346" t="s">
        <v>4198</v>
      </c>
      <c r="C117" s="238" t="s">
        <v>4194</v>
      </c>
      <c r="D117" s="41">
        <v>40.299999999999997</v>
      </c>
      <c r="E117" s="41">
        <v>29.566666999999999</v>
      </c>
      <c r="F117" s="116">
        <f t="shared" si="5"/>
        <v>6121</v>
      </c>
      <c r="G117" s="27">
        <v>6212</v>
      </c>
      <c r="H117" s="112">
        <v>6030</v>
      </c>
      <c r="I117" s="174" t="s">
        <v>126</v>
      </c>
      <c r="J117" s="40" t="s">
        <v>69</v>
      </c>
      <c r="K117" s="194" t="s">
        <v>3110</v>
      </c>
      <c r="L117" s="17" t="s">
        <v>2</v>
      </c>
      <c r="M117" s="108" t="s">
        <v>313</v>
      </c>
      <c r="N117" s="230"/>
      <c r="O117" s="205"/>
    </row>
    <row r="118" spans="1:15" s="45" customFormat="1" x14ac:dyDescent="0.25">
      <c r="A118" s="189" t="s">
        <v>2312</v>
      </c>
      <c r="B118" s="345" t="s">
        <v>2309</v>
      </c>
      <c r="C118" s="238" t="s">
        <v>4194</v>
      </c>
      <c r="D118" s="41">
        <v>40.172899999999998</v>
      </c>
      <c r="E118" s="41">
        <v>28.772300000000001</v>
      </c>
      <c r="F118" s="116">
        <v>6431</v>
      </c>
      <c r="G118" s="197">
        <v>6469</v>
      </c>
      <c r="H118" s="115">
        <v>6393</v>
      </c>
      <c r="I118" s="97" t="s">
        <v>2314</v>
      </c>
      <c r="J118" s="593" t="s">
        <v>69</v>
      </c>
      <c r="K118" s="194" t="s">
        <v>3926</v>
      </c>
      <c r="L118" s="17" t="s">
        <v>2</v>
      </c>
      <c r="M118" s="108" t="s">
        <v>2313</v>
      </c>
      <c r="N118" s="230" t="s">
        <v>4002</v>
      </c>
      <c r="O118" s="205"/>
    </row>
    <row r="119" spans="1:15" x14ac:dyDescent="0.25">
      <c r="A119" s="189" t="s">
        <v>2312</v>
      </c>
      <c r="B119" s="345" t="s">
        <v>2309</v>
      </c>
      <c r="C119" s="238" t="s">
        <v>4194</v>
      </c>
      <c r="D119" s="41">
        <v>40.172899999999998</v>
      </c>
      <c r="E119" s="41">
        <v>28.772300000000001</v>
      </c>
      <c r="F119" s="116">
        <v>6455.5</v>
      </c>
      <c r="G119" s="197">
        <v>6493</v>
      </c>
      <c r="H119" s="115">
        <v>6418</v>
      </c>
      <c r="I119" s="97" t="s">
        <v>614</v>
      </c>
      <c r="J119" s="593" t="s">
        <v>69</v>
      </c>
      <c r="K119" s="194" t="s">
        <v>3109</v>
      </c>
      <c r="L119" s="17" t="s">
        <v>14</v>
      </c>
      <c r="M119" s="108" t="s">
        <v>2316</v>
      </c>
      <c r="N119" s="230" t="s">
        <v>4003</v>
      </c>
      <c r="O119" s="205"/>
    </row>
    <row r="120" spans="1:15" x14ac:dyDescent="0.25">
      <c r="A120" s="189" t="s">
        <v>4011</v>
      </c>
      <c r="B120" s="345" t="s">
        <v>2309</v>
      </c>
      <c r="C120" s="238" t="s">
        <v>4194</v>
      </c>
      <c r="D120" s="41">
        <v>40.172899999999998</v>
      </c>
      <c r="E120" s="41">
        <v>28.772300000000001</v>
      </c>
      <c r="F120" s="116">
        <v>6250</v>
      </c>
      <c r="G120" s="197">
        <v>6500</v>
      </c>
      <c r="H120" s="115">
        <v>6000</v>
      </c>
      <c r="I120" s="97" t="s">
        <v>614</v>
      </c>
      <c r="J120" s="593" t="s">
        <v>69</v>
      </c>
      <c r="K120" s="194" t="s">
        <v>2560</v>
      </c>
      <c r="L120" s="17" t="s">
        <v>2</v>
      </c>
      <c r="M120" s="108" t="s">
        <v>2315</v>
      </c>
      <c r="N120" s="230" t="s">
        <v>4001</v>
      </c>
      <c r="O120" s="205" t="s">
        <v>4000</v>
      </c>
    </row>
    <row r="121" spans="1:15" ht="15.75" thickBot="1" x14ac:dyDescent="0.3">
      <c r="A121" s="189" t="s">
        <v>4011</v>
      </c>
      <c r="B121" s="345" t="s">
        <v>2309</v>
      </c>
      <c r="C121" s="238" t="s">
        <v>4194</v>
      </c>
      <c r="D121" s="41">
        <v>40.172899999999998</v>
      </c>
      <c r="E121" s="41">
        <v>28.772300000000001</v>
      </c>
      <c r="F121" s="116">
        <v>5584</v>
      </c>
      <c r="G121" s="197">
        <v>5633</v>
      </c>
      <c r="H121" s="115">
        <v>5535</v>
      </c>
      <c r="I121" s="97" t="s">
        <v>3997</v>
      </c>
      <c r="J121" s="593" t="s">
        <v>69</v>
      </c>
      <c r="K121" s="194" t="s">
        <v>2513</v>
      </c>
      <c r="L121" s="17" t="s">
        <v>14</v>
      </c>
      <c r="M121" s="108" t="s">
        <v>2317</v>
      </c>
      <c r="N121" s="230" t="s">
        <v>3995</v>
      </c>
      <c r="O121" s="205"/>
    </row>
    <row r="122" spans="1:15" ht="15.75" thickBot="1" x14ac:dyDescent="0.3">
      <c r="A122" s="189" t="s">
        <v>4011</v>
      </c>
      <c r="B122" s="346" t="s">
        <v>4195</v>
      </c>
      <c r="C122" s="238" t="s">
        <v>4194</v>
      </c>
      <c r="D122" s="41">
        <v>40.299999999999997</v>
      </c>
      <c r="E122" s="41">
        <v>29.57</v>
      </c>
      <c r="F122" s="116">
        <v>6131</v>
      </c>
      <c r="G122" s="197">
        <v>6213</v>
      </c>
      <c r="H122" s="115">
        <v>6049</v>
      </c>
      <c r="I122" s="174" t="s">
        <v>126</v>
      </c>
      <c r="J122" s="593" t="s">
        <v>69</v>
      </c>
      <c r="K122" s="194" t="s">
        <v>2513</v>
      </c>
      <c r="L122" s="17" t="s">
        <v>2</v>
      </c>
      <c r="M122" s="108" t="s">
        <v>2318</v>
      </c>
      <c r="O122" s="205"/>
    </row>
    <row r="123" spans="1:15" ht="15.75" thickBot="1" x14ac:dyDescent="0.3">
      <c r="A123" s="189" t="s">
        <v>4011</v>
      </c>
      <c r="B123" s="346" t="s">
        <v>4195</v>
      </c>
      <c r="C123" s="238" t="s">
        <v>4194</v>
      </c>
      <c r="D123" s="41">
        <v>40.299999999999997</v>
      </c>
      <c r="E123" s="41">
        <v>29.57</v>
      </c>
      <c r="F123" s="116">
        <v>6158.5</v>
      </c>
      <c r="G123" s="197">
        <v>6233</v>
      </c>
      <c r="H123" s="115">
        <v>6084</v>
      </c>
      <c r="I123" s="174" t="s">
        <v>787</v>
      </c>
      <c r="J123" s="593" t="s">
        <v>69</v>
      </c>
      <c r="K123" s="194" t="s">
        <v>2513</v>
      </c>
      <c r="L123" s="17" t="s">
        <v>2</v>
      </c>
      <c r="M123" s="108" t="s">
        <v>2319</v>
      </c>
      <c r="O123" s="205"/>
    </row>
    <row r="124" spans="1:15" ht="15.75" thickBot="1" x14ac:dyDescent="0.3">
      <c r="A124" s="189" t="s">
        <v>4011</v>
      </c>
      <c r="B124" s="346" t="s">
        <v>4195</v>
      </c>
      <c r="C124" s="238" t="s">
        <v>4194</v>
      </c>
      <c r="D124" s="41">
        <v>40.299999999999997</v>
      </c>
      <c r="E124" s="41">
        <v>29.57</v>
      </c>
      <c r="F124" s="116">
        <v>6300</v>
      </c>
      <c r="G124" s="197">
        <v>6600</v>
      </c>
      <c r="H124" s="115">
        <v>6000</v>
      </c>
      <c r="I124" s="97" t="s">
        <v>11</v>
      </c>
      <c r="J124" s="593" t="s">
        <v>69</v>
      </c>
      <c r="K124" s="194" t="s">
        <v>2513</v>
      </c>
      <c r="L124" s="594" t="s">
        <v>14</v>
      </c>
      <c r="M124" s="108" t="s">
        <v>2320</v>
      </c>
      <c r="O124" s="205"/>
    </row>
    <row r="125" spans="1:15" ht="15.75" thickBot="1" x14ac:dyDescent="0.3">
      <c r="A125" s="189" t="s">
        <v>4011</v>
      </c>
      <c r="B125" s="346" t="s">
        <v>4195</v>
      </c>
      <c r="C125" s="238" t="s">
        <v>4194</v>
      </c>
      <c r="D125" s="41">
        <v>40.299999999999997</v>
      </c>
      <c r="E125" s="41">
        <v>29.57</v>
      </c>
      <c r="F125" s="116">
        <v>6329</v>
      </c>
      <c r="G125" s="197">
        <f>F125+90</f>
        <v>6419</v>
      </c>
      <c r="H125" s="115">
        <f>F125-90</f>
        <v>6239</v>
      </c>
      <c r="I125" s="174" t="s">
        <v>126</v>
      </c>
      <c r="J125" s="593" t="s">
        <v>69</v>
      </c>
      <c r="K125" s="194" t="s">
        <v>2513</v>
      </c>
      <c r="L125" s="594" t="s">
        <v>2</v>
      </c>
      <c r="M125" s="108" t="s">
        <v>2321</v>
      </c>
      <c r="O125" s="205" t="s">
        <v>4077</v>
      </c>
    </row>
    <row r="126" spans="1:15" s="45" customFormat="1" ht="15.75" thickBot="1" x14ac:dyDescent="0.3">
      <c r="A126" s="189" t="s">
        <v>2297</v>
      </c>
      <c r="B126" s="346" t="s">
        <v>4195</v>
      </c>
      <c r="C126" s="238" t="s">
        <v>4194</v>
      </c>
      <c r="D126" s="41">
        <v>40.299999999999997</v>
      </c>
      <c r="E126" s="41">
        <v>29.57</v>
      </c>
      <c r="F126" s="116">
        <f>AVERAGE(G126:H126)</f>
        <v>6345.5</v>
      </c>
      <c r="G126" s="27">
        <f>8384-1949</f>
        <v>6435</v>
      </c>
      <c r="H126" s="112">
        <f>8205-1949</f>
        <v>6256</v>
      </c>
      <c r="I126" s="97" t="s">
        <v>128</v>
      </c>
      <c r="J126" s="40" t="s">
        <v>1856</v>
      </c>
      <c r="K126" s="194" t="s">
        <v>3110</v>
      </c>
      <c r="L126" s="17" t="s">
        <v>14</v>
      </c>
      <c r="M126" s="108" t="s">
        <v>2311</v>
      </c>
      <c r="N126" s="230"/>
      <c r="O126" s="205"/>
    </row>
    <row r="127" spans="1:15" s="45" customFormat="1" ht="15.75" thickBot="1" x14ac:dyDescent="0.3">
      <c r="A127" s="189" t="s">
        <v>2297</v>
      </c>
      <c r="B127" s="345" t="s">
        <v>2309</v>
      </c>
      <c r="C127" s="238" t="s">
        <v>4194</v>
      </c>
      <c r="D127" s="41">
        <v>40.172899999999998</v>
      </c>
      <c r="E127" s="41">
        <v>28.772300000000001</v>
      </c>
      <c r="F127" s="116">
        <f>AVERAGE(G127:H127)</f>
        <v>6598.5</v>
      </c>
      <c r="G127" s="27">
        <f>8635-1949</f>
        <v>6686</v>
      </c>
      <c r="H127" s="112">
        <f>8460-1949</f>
        <v>6511</v>
      </c>
      <c r="I127" s="174" t="s">
        <v>349</v>
      </c>
      <c r="J127" s="593" t="s">
        <v>69</v>
      </c>
      <c r="K127" s="194" t="s">
        <v>3110</v>
      </c>
      <c r="L127" s="17" t="s">
        <v>2</v>
      </c>
      <c r="M127" s="108" t="s">
        <v>2310</v>
      </c>
      <c r="N127" s="230"/>
      <c r="O127" s="205"/>
    </row>
    <row r="128" spans="1:15" s="45" customFormat="1" ht="15.75" thickBot="1" x14ac:dyDescent="0.3">
      <c r="A128" s="189" t="s">
        <v>3996</v>
      </c>
      <c r="B128" s="345" t="s">
        <v>2309</v>
      </c>
      <c r="C128" s="238" t="s">
        <v>4194</v>
      </c>
      <c r="D128" s="41">
        <v>40.172899999999998</v>
      </c>
      <c r="E128" s="41">
        <v>28.772300000000001</v>
      </c>
      <c r="F128" s="116">
        <f t="shared" ref="F128:F145" si="6">AVERAGE(G128:H128)</f>
        <v>6263.7999999999993</v>
      </c>
      <c r="G128" s="516">
        <f>(G118+G119+G120+G121+G127)/5</f>
        <v>6356.2</v>
      </c>
      <c r="H128" s="516">
        <f>(H118+H119+H120+H121+H127)/5</f>
        <v>6171.4</v>
      </c>
      <c r="I128" s="174" t="s">
        <v>6</v>
      </c>
      <c r="J128" s="593" t="s">
        <v>69</v>
      </c>
      <c r="K128" s="194" t="s">
        <v>2513</v>
      </c>
      <c r="L128" s="17" t="s">
        <v>69</v>
      </c>
      <c r="M128" s="108" t="s">
        <v>3998</v>
      </c>
      <c r="N128" s="230"/>
      <c r="O128" s="205" t="s">
        <v>4191</v>
      </c>
    </row>
    <row r="129" spans="1:16" s="45" customFormat="1" x14ac:dyDescent="0.25">
      <c r="A129" s="189" t="s">
        <v>3996</v>
      </c>
      <c r="B129" s="346" t="s">
        <v>4195</v>
      </c>
      <c r="C129" s="238" t="s">
        <v>4194</v>
      </c>
      <c r="D129" s="41">
        <v>40.299999999999997</v>
      </c>
      <c r="E129" s="41">
        <v>29.57</v>
      </c>
      <c r="F129" s="116">
        <f t="shared" si="6"/>
        <v>6257.6875</v>
      </c>
      <c r="G129" s="321">
        <f>(G111+G116+G117+G122+G123+G124+G125+G126)/8</f>
        <v>6371.125</v>
      </c>
      <c r="H129" s="321">
        <f>(H111+H116+H117+H122+H123+H124+H125+H126)/8</f>
        <v>6144.25</v>
      </c>
      <c r="I129" s="126" t="s">
        <v>32</v>
      </c>
      <c r="J129" s="593" t="s">
        <v>69</v>
      </c>
      <c r="K129" s="194" t="s">
        <v>2513</v>
      </c>
      <c r="L129" s="17" t="s">
        <v>69</v>
      </c>
      <c r="M129" s="108" t="s">
        <v>4004</v>
      </c>
      <c r="N129" s="230"/>
      <c r="O129" s="205" t="s">
        <v>4192</v>
      </c>
    </row>
    <row r="130" spans="1:16" s="45" customFormat="1" x14ac:dyDescent="0.25">
      <c r="A130" s="189" t="s">
        <v>3996</v>
      </c>
      <c r="B130" s="346" t="s">
        <v>4195</v>
      </c>
      <c r="C130" s="238" t="s">
        <v>4194</v>
      </c>
      <c r="D130" s="41">
        <v>40.299999999999997</v>
      </c>
      <c r="E130" s="41">
        <v>29.57</v>
      </c>
      <c r="F130" s="116">
        <f t="shared" si="6"/>
        <v>6257.6875</v>
      </c>
      <c r="G130" s="321">
        <v>6371.125</v>
      </c>
      <c r="H130" s="517">
        <v>6144.25</v>
      </c>
      <c r="I130" s="126" t="s">
        <v>273</v>
      </c>
      <c r="J130" s="593" t="s">
        <v>69</v>
      </c>
      <c r="K130" s="194" t="s">
        <v>2513</v>
      </c>
      <c r="L130" s="17" t="s">
        <v>69</v>
      </c>
      <c r="M130" s="108" t="s">
        <v>4005</v>
      </c>
      <c r="N130" s="230"/>
      <c r="O130" s="205" t="s">
        <v>4192</v>
      </c>
    </row>
    <row r="131" spans="1:16" s="45" customFormat="1" x14ac:dyDescent="0.25">
      <c r="A131" s="189" t="s">
        <v>3996</v>
      </c>
      <c r="B131" s="346" t="s">
        <v>4195</v>
      </c>
      <c r="C131" s="238" t="s">
        <v>4194</v>
      </c>
      <c r="D131" s="41">
        <v>40.299999999999997</v>
      </c>
      <c r="E131" s="41">
        <v>29.57</v>
      </c>
      <c r="F131" s="116">
        <f t="shared" si="6"/>
        <v>6257.6875</v>
      </c>
      <c r="G131" s="321">
        <v>6371.125</v>
      </c>
      <c r="H131" s="517">
        <v>6144.25</v>
      </c>
      <c r="I131" s="326" t="s">
        <v>4009</v>
      </c>
      <c r="J131" s="593" t="s">
        <v>69</v>
      </c>
      <c r="K131" s="194" t="s">
        <v>2513</v>
      </c>
      <c r="L131" s="17" t="s">
        <v>69</v>
      </c>
      <c r="M131" s="280" t="s">
        <v>4006</v>
      </c>
      <c r="N131" s="239"/>
      <c r="O131" s="205" t="s">
        <v>4192</v>
      </c>
    </row>
    <row r="132" spans="1:16" s="45" customFormat="1" x14ac:dyDescent="0.25">
      <c r="A132" s="189" t="s">
        <v>3996</v>
      </c>
      <c r="B132" s="346" t="s">
        <v>4195</v>
      </c>
      <c r="C132" s="238" t="s">
        <v>4194</v>
      </c>
      <c r="D132" s="41">
        <v>40.299999999999997</v>
      </c>
      <c r="E132" s="41">
        <v>29.57</v>
      </c>
      <c r="F132" s="116">
        <f t="shared" si="6"/>
        <v>6257.6875</v>
      </c>
      <c r="G132" s="321">
        <v>6371.125</v>
      </c>
      <c r="H132" s="517">
        <v>6144.25</v>
      </c>
      <c r="I132" s="326" t="s">
        <v>3972</v>
      </c>
      <c r="J132" s="593" t="s">
        <v>69</v>
      </c>
      <c r="K132" s="194" t="s">
        <v>2513</v>
      </c>
      <c r="L132" s="17" t="s">
        <v>69</v>
      </c>
      <c r="M132" s="280" t="s">
        <v>4007</v>
      </c>
      <c r="N132" s="239"/>
      <c r="O132" s="205" t="s">
        <v>4192</v>
      </c>
    </row>
    <row r="133" spans="1:16" s="45" customFormat="1" x14ac:dyDescent="0.25">
      <c r="A133" s="189" t="s">
        <v>3996</v>
      </c>
      <c r="B133" s="346" t="s">
        <v>4195</v>
      </c>
      <c r="C133" s="238" t="s">
        <v>4194</v>
      </c>
      <c r="D133" s="41">
        <v>40.299999999999997</v>
      </c>
      <c r="E133" s="41">
        <v>29.57</v>
      </c>
      <c r="F133" s="116">
        <f t="shared" si="6"/>
        <v>6257.6875</v>
      </c>
      <c r="G133" s="321">
        <v>6371.125</v>
      </c>
      <c r="H133" s="517">
        <v>6144.25</v>
      </c>
      <c r="I133" s="326" t="s">
        <v>4010</v>
      </c>
      <c r="J133" s="593" t="s">
        <v>69</v>
      </c>
      <c r="K133" s="194" t="s">
        <v>2513</v>
      </c>
      <c r="L133" s="17" t="s">
        <v>69</v>
      </c>
      <c r="M133" s="280" t="s">
        <v>4008</v>
      </c>
      <c r="N133" s="239"/>
      <c r="O133" s="205" t="s">
        <v>4192</v>
      </c>
    </row>
    <row r="134" spans="1:16" s="45" customFormat="1" ht="15.75" thickBot="1" x14ac:dyDescent="0.3">
      <c r="A134" s="189" t="s">
        <v>4127</v>
      </c>
      <c r="B134" s="346" t="s">
        <v>4195</v>
      </c>
      <c r="C134" s="238" t="s">
        <v>4194</v>
      </c>
      <c r="D134" s="518">
        <v>40.299999999999997</v>
      </c>
      <c r="E134" s="518">
        <v>29.56666667</v>
      </c>
      <c r="F134" s="116">
        <f t="shared" si="6"/>
        <v>6350</v>
      </c>
      <c r="G134" s="27">
        <v>6500</v>
      </c>
      <c r="H134" s="112">
        <v>6200</v>
      </c>
      <c r="I134" s="319" t="s">
        <v>138</v>
      </c>
      <c r="J134" s="344" t="s">
        <v>147</v>
      </c>
      <c r="K134" s="194" t="s">
        <v>170</v>
      </c>
      <c r="L134" s="17" t="s">
        <v>14</v>
      </c>
      <c r="M134" s="342" t="s">
        <v>4186</v>
      </c>
      <c r="N134" s="230"/>
      <c r="O134" s="205"/>
      <c r="P134" s="344"/>
    </row>
    <row r="135" spans="1:16" s="45" customFormat="1" ht="15.75" thickBot="1" x14ac:dyDescent="0.3">
      <c r="A135" s="189" t="s">
        <v>4127</v>
      </c>
      <c r="B135" s="346" t="s">
        <v>4195</v>
      </c>
      <c r="C135" s="238" t="s">
        <v>4194</v>
      </c>
      <c r="D135" s="518">
        <v>40.303699999999999</v>
      </c>
      <c r="E135" s="518">
        <v>29.56666667</v>
      </c>
      <c r="F135" s="116">
        <f t="shared" si="6"/>
        <v>6328.5</v>
      </c>
      <c r="G135" s="27">
        <v>6424</v>
      </c>
      <c r="H135" s="112">
        <v>6233</v>
      </c>
      <c r="I135" s="182" t="s">
        <v>126</v>
      </c>
      <c r="J135" s="344" t="s">
        <v>4145</v>
      </c>
      <c r="K135" s="194" t="s">
        <v>170</v>
      </c>
      <c r="L135" s="17" t="s">
        <v>14</v>
      </c>
      <c r="M135" s="342" t="s">
        <v>347</v>
      </c>
      <c r="N135" s="230"/>
      <c r="O135" s="205"/>
      <c r="P135" s="344"/>
    </row>
    <row r="136" spans="1:16" s="45" customFormat="1" x14ac:dyDescent="0.25">
      <c r="A136" s="189" t="s">
        <v>4127</v>
      </c>
      <c r="B136" s="346" t="s">
        <v>4195</v>
      </c>
      <c r="C136" s="238" t="s">
        <v>4194</v>
      </c>
      <c r="D136" s="518">
        <v>40.303699999999999</v>
      </c>
      <c r="E136" s="518">
        <v>29.56666667</v>
      </c>
      <c r="F136" s="116">
        <f t="shared" si="6"/>
        <v>6307</v>
      </c>
      <c r="G136" s="27">
        <v>6386</v>
      </c>
      <c r="H136" s="112">
        <v>6228</v>
      </c>
      <c r="I136" s="319" t="s">
        <v>273</v>
      </c>
      <c r="J136" s="344" t="s">
        <v>69</v>
      </c>
      <c r="K136" s="194" t="s">
        <v>170</v>
      </c>
      <c r="L136" s="17" t="s">
        <v>2</v>
      </c>
      <c r="M136" s="342" t="s">
        <v>364</v>
      </c>
      <c r="N136" s="230"/>
      <c r="O136" s="205"/>
      <c r="P136" s="344"/>
    </row>
    <row r="137" spans="1:16" s="45" customFormat="1" x14ac:dyDescent="0.25">
      <c r="A137" s="189" t="s">
        <v>4127</v>
      </c>
      <c r="B137" s="346" t="s">
        <v>4195</v>
      </c>
      <c r="C137" s="238" t="s">
        <v>4194</v>
      </c>
      <c r="D137" s="518">
        <v>40.303699999999999</v>
      </c>
      <c r="E137" s="518">
        <v>29.56666667</v>
      </c>
      <c r="F137" s="116">
        <f t="shared" si="6"/>
        <v>6234.5</v>
      </c>
      <c r="G137" s="27">
        <v>6381</v>
      </c>
      <c r="H137" s="112">
        <v>6088</v>
      </c>
      <c r="I137" s="319" t="s">
        <v>82</v>
      </c>
      <c r="J137" s="344" t="s">
        <v>69</v>
      </c>
      <c r="K137" s="194" t="s">
        <v>170</v>
      </c>
      <c r="L137" s="17" t="s">
        <v>2</v>
      </c>
      <c r="M137" s="342" t="s">
        <v>317</v>
      </c>
      <c r="N137" s="230"/>
      <c r="O137" s="205"/>
      <c r="P137" s="344"/>
    </row>
    <row r="138" spans="1:16" s="45" customFormat="1" ht="15.75" thickBot="1" x14ac:dyDescent="0.3">
      <c r="A138" s="189" t="s">
        <v>4127</v>
      </c>
      <c r="B138" s="346" t="s">
        <v>4195</v>
      </c>
      <c r="C138" s="238" t="s">
        <v>4194</v>
      </c>
      <c r="D138" s="518">
        <v>40.303699999999999</v>
      </c>
      <c r="E138" s="518">
        <v>29.56666667</v>
      </c>
      <c r="F138" s="116">
        <f t="shared" si="6"/>
        <v>6154.5</v>
      </c>
      <c r="G138" s="27">
        <v>6228</v>
      </c>
      <c r="H138" s="112">
        <v>6081</v>
      </c>
      <c r="I138" s="319" t="s">
        <v>130</v>
      </c>
      <c r="J138" s="344" t="s">
        <v>69</v>
      </c>
      <c r="K138" s="194" t="s">
        <v>170</v>
      </c>
      <c r="L138" s="17" t="s">
        <v>2</v>
      </c>
      <c r="M138" s="342" t="s">
        <v>324</v>
      </c>
      <c r="N138" s="230"/>
      <c r="O138" s="205"/>
      <c r="P138" s="344"/>
    </row>
    <row r="139" spans="1:16" s="45" customFormat="1" ht="15.75" thickBot="1" x14ac:dyDescent="0.3">
      <c r="A139" s="189" t="s">
        <v>4127</v>
      </c>
      <c r="B139" s="346" t="s">
        <v>4195</v>
      </c>
      <c r="C139" s="238" t="s">
        <v>4194</v>
      </c>
      <c r="D139" s="518">
        <v>40.299999999999997</v>
      </c>
      <c r="E139" s="518">
        <v>29.56666667</v>
      </c>
      <c r="F139" s="116">
        <f t="shared" si="6"/>
        <v>6124.5</v>
      </c>
      <c r="G139" s="27">
        <v>6221</v>
      </c>
      <c r="H139" s="112">
        <v>6028</v>
      </c>
      <c r="I139" s="182" t="s">
        <v>355</v>
      </c>
      <c r="J139" s="344" t="s">
        <v>69</v>
      </c>
      <c r="K139" s="194" t="s">
        <v>170</v>
      </c>
      <c r="L139" s="17" t="s">
        <v>2</v>
      </c>
      <c r="M139" s="342" t="s">
        <v>356</v>
      </c>
      <c r="N139" s="230"/>
      <c r="O139" s="205"/>
      <c r="P139" s="344"/>
    </row>
    <row r="140" spans="1:16" s="45" customFormat="1" ht="15.75" thickBot="1" x14ac:dyDescent="0.3">
      <c r="A140" s="189" t="s">
        <v>4127</v>
      </c>
      <c r="B140" s="346" t="s">
        <v>4195</v>
      </c>
      <c r="C140" s="238" t="s">
        <v>4194</v>
      </c>
      <c r="D140" s="518">
        <v>40.299999999999997</v>
      </c>
      <c r="E140" s="518">
        <v>29.56666667</v>
      </c>
      <c r="F140" s="116">
        <f t="shared" si="6"/>
        <v>6112</v>
      </c>
      <c r="G140" s="27">
        <v>6217</v>
      </c>
      <c r="H140" s="112">
        <v>6007</v>
      </c>
      <c r="I140" s="319" t="s">
        <v>4189</v>
      </c>
      <c r="J140" s="344" t="s">
        <v>69</v>
      </c>
      <c r="K140" s="194" t="s">
        <v>170</v>
      </c>
      <c r="L140" s="17" t="s">
        <v>2</v>
      </c>
      <c r="M140" s="342" t="s">
        <v>332</v>
      </c>
      <c r="N140" s="230"/>
      <c r="O140" s="205"/>
      <c r="P140" s="344"/>
    </row>
    <row r="141" spans="1:16" s="45" customFormat="1" ht="15.75" thickBot="1" x14ac:dyDescent="0.3">
      <c r="A141" s="189" t="s">
        <v>4127</v>
      </c>
      <c r="B141" s="346" t="s">
        <v>4196</v>
      </c>
      <c r="C141" s="238" t="s">
        <v>4194</v>
      </c>
      <c r="D141" s="518">
        <v>40.26</v>
      </c>
      <c r="E141" s="518">
        <v>29.65</v>
      </c>
      <c r="F141" s="116">
        <f t="shared" si="6"/>
        <v>6000</v>
      </c>
      <c r="G141" s="27">
        <v>6400</v>
      </c>
      <c r="H141" s="112">
        <v>5600</v>
      </c>
      <c r="I141" s="182" t="s">
        <v>126</v>
      </c>
      <c r="J141" s="344" t="s">
        <v>311</v>
      </c>
      <c r="K141" s="194" t="s">
        <v>170</v>
      </c>
      <c r="L141" s="17" t="s">
        <v>14</v>
      </c>
      <c r="M141" s="342" t="s">
        <v>346</v>
      </c>
      <c r="N141" s="230"/>
      <c r="O141" s="205"/>
      <c r="P141" s="344"/>
    </row>
    <row r="142" spans="1:16" s="45" customFormat="1" ht="15.75" thickBot="1" x14ac:dyDescent="0.3">
      <c r="A142" s="189" t="s">
        <v>4127</v>
      </c>
      <c r="B142" s="346" t="s">
        <v>4196</v>
      </c>
      <c r="C142" s="238" t="s">
        <v>4194</v>
      </c>
      <c r="D142" s="518">
        <v>40.26</v>
      </c>
      <c r="E142" s="518">
        <v>29.65</v>
      </c>
      <c r="F142" s="116">
        <f t="shared" si="6"/>
        <v>6000</v>
      </c>
      <c r="G142" s="27">
        <v>6400</v>
      </c>
      <c r="H142" s="112">
        <v>5600</v>
      </c>
      <c r="I142" s="182" t="s">
        <v>352</v>
      </c>
      <c r="J142" s="344" t="s">
        <v>1063</v>
      </c>
      <c r="K142" s="194" t="s">
        <v>170</v>
      </c>
      <c r="L142" s="17" t="s">
        <v>14</v>
      </c>
      <c r="M142" s="342" t="s">
        <v>354</v>
      </c>
      <c r="N142" s="230"/>
      <c r="O142" s="205"/>
      <c r="P142" s="344"/>
    </row>
    <row r="143" spans="1:16" s="45" customFormat="1" x14ac:dyDescent="0.25">
      <c r="A143" s="189" t="s">
        <v>4127</v>
      </c>
      <c r="B143" s="346" t="s">
        <v>4196</v>
      </c>
      <c r="C143" s="238" t="s">
        <v>4194</v>
      </c>
      <c r="D143" s="518">
        <v>40.26</v>
      </c>
      <c r="E143" s="518">
        <v>29.65</v>
      </c>
      <c r="F143" s="116">
        <f>AVERAGE(G143:H143)</f>
        <v>5921.5</v>
      </c>
      <c r="G143" s="27">
        <v>6008</v>
      </c>
      <c r="H143" s="112">
        <v>5835</v>
      </c>
      <c r="I143" s="319" t="s">
        <v>370</v>
      </c>
      <c r="J143" s="344" t="s">
        <v>133</v>
      </c>
      <c r="K143" s="194" t="s">
        <v>170</v>
      </c>
      <c r="L143" s="17" t="s">
        <v>14</v>
      </c>
      <c r="M143" s="342" t="s">
        <v>371</v>
      </c>
      <c r="N143" s="230"/>
      <c r="O143" s="205"/>
      <c r="P143" s="344"/>
    </row>
    <row r="144" spans="1:16" s="45" customFormat="1" x14ac:dyDescent="0.25">
      <c r="A144" s="189" t="s">
        <v>4127</v>
      </c>
      <c r="B144" s="346" t="s">
        <v>4197</v>
      </c>
      <c r="C144" s="238" t="s">
        <v>4194</v>
      </c>
      <c r="D144" s="518">
        <v>40.479999999999997</v>
      </c>
      <c r="E144" s="518">
        <v>29.295999999999999</v>
      </c>
      <c r="F144" s="116">
        <f t="shared" si="6"/>
        <v>5975</v>
      </c>
      <c r="G144" s="27">
        <v>6150</v>
      </c>
      <c r="H144" s="112">
        <v>5800</v>
      </c>
      <c r="I144" s="319" t="s">
        <v>4165</v>
      </c>
      <c r="J144" s="344" t="s">
        <v>4190</v>
      </c>
      <c r="K144" s="194" t="s">
        <v>170</v>
      </c>
      <c r="L144" s="17" t="s">
        <v>14</v>
      </c>
      <c r="M144" s="342" t="s">
        <v>4187</v>
      </c>
      <c r="N144" s="230"/>
      <c r="O144" s="205"/>
      <c r="P144" s="344"/>
    </row>
    <row r="145" spans="1:16" s="45" customFormat="1" x14ac:dyDescent="0.25">
      <c r="A145" s="189" t="s">
        <v>4127</v>
      </c>
      <c r="B145" s="346" t="s">
        <v>4197</v>
      </c>
      <c r="C145" s="238" t="s">
        <v>4194</v>
      </c>
      <c r="D145" s="518">
        <v>40.479999999999997</v>
      </c>
      <c r="E145" s="518">
        <v>29.295999999999999</v>
      </c>
      <c r="F145" s="116">
        <f t="shared" si="6"/>
        <v>5975</v>
      </c>
      <c r="G145" s="27">
        <v>6150</v>
      </c>
      <c r="H145" s="112">
        <v>5800</v>
      </c>
      <c r="I145" s="319" t="s">
        <v>130</v>
      </c>
      <c r="J145" s="344" t="s">
        <v>69</v>
      </c>
      <c r="K145" s="194" t="s">
        <v>170</v>
      </c>
      <c r="L145" s="17" t="s">
        <v>2</v>
      </c>
      <c r="M145" s="342" t="s">
        <v>4188</v>
      </c>
      <c r="N145" s="230"/>
      <c r="O145" s="205"/>
      <c r="P145" s="344"/>
    </row>
    <row r="146" spans="1:16" s="2" customFormat="1" x14ac:dyDescent="0.25">
      <c r="A146" s="665" t="s">
        <v>4247</v>
      </c>
      <c r="B146" s="669"/>
      <c r="C146" s="670"/>
      <c r="D146" s="682">
        <f>AVERAGE(D90:D145)</f>
        <v>40.287360714285704</v>
      </c>
      <c r="E146" s="682">
        <f>AVERAGE(E90:E145)</f>
        <v>29.484389423035712</v>
      </c>
      <c r="F146" s="683">
        <f>AVERAGE(F90:F145)</f>
        <v>6239.5578125000002</v>
      </c>
      <c r="G146" s="17"/>
      <c r="H146" s="112"/>
      <c r="I146" s="320"/>
      <c r="J146" s="40"/>
      <c r="K146" s="194"/>
      <c r="L146" s="17"/>
      <c r="M146" s="108"/>
      <c r="N146" s="354"/>
      <c r="O146" s="325"/>
    </row>
    <row r="147" spans="1:16" s="2" customFormat="1" x14ac:dyDescent="0.25">
      <c r="A147" s="87"/>
      <c r="B147" s="356"/>
      <c r="C147" s="355"/>
      <c r="D147" s="41"/>
      <c r="E147" s="41"/>
      <c r="F147" s="116"/>
      <c r="G147" s="17"/>
      <c r="H147" s="112"/>
      <c r="I147" s="40"/>
      <c r="J147" s="40"/>
      <c r="K147" s="194"/>
      <c r="L147" s="17"/>
      <c r="M147" s="108"/>
      <c r="N147" s="354"/>
      <c r="O147" s="61"/>
    </row>
    <row r="148" spans="1:16" s="2" customFormat="1" x14ac:dyDescent="0.25">
      <c r="A148" s="665" t="s">
        <v>4249</v>
      </c>
      <c r="B148" s="660"/>
      <c r="C148" s="355"/>
      <c r="D148" s="41"/>
      <c r="E148" s="41"/>
      <c r="F148" s="116"/>
      <c r="G148" s="17"/>
      <c r="H148" s="112"/>
      <c r="I148" s="40"/>
      <c r="J148" s="40"/>
      <c r="K148" s="194"/>
      <c r="L148" s="17"/>
      <c r="M148" s="108"/>
      <c r="N148" s="354"/>
      <c r="O148" s="61"/>
    </row>
    <row r="149" spans="1:16" s="100" customFormat="1" ht="32.450000000000003" customHeight="1" x14ac:dyDescent="0.25">
      <c r="A149" s="507" t="s">
        <v>4291</v>
      </c>
      <c r="B149" s="508" t="s">
        <v>1247</v>
      </c>
      <c r="C149" s="519" t="s">
        <v>0</v>
      </c>
      <c r="D149" s="510" t="s">
        <v>969</v>
      </c>
      <c r="E149" s="510" t="s">
        <v>2323</v>
      </c>
      <c r="F149" s="510" t="s">
        <v>398</v>
      </c>
      <c r="G149" s="511" t="s">
        <v>399</v>
      </c>
      <c r="H149" s="512" t="s">
        <v>400</v>
      </c>
      <c r="I149" s="101" t="s">
        <v>2322</v>
      </c>
      <c r="J149" s="589" t="s">
        <v>3927</v>
      </c>
      <c r="K149" s="590" t="s">
        <v>3250</v>
      </c>
      <c r="L149" s="591" t="s">
        <v>1</v>
      </c>
      <c r="M149" s="590" t="s">
        <v>3486</v>
      </c>
      <c r="N149" s="640" t="s">
        <v>3487</v>
      </c>
      <c r="O149" s="339" t="s">
        <v>2324</v>
      </c>
    </row>
    <row r="150" spans="1:16" s="45" customFormat="1" x14ac:dyDescent="0.25">
      <c r="A150" s="107" t="s">
        <v>545</v>
      </c>
      <c r="B150" s="237" t="s">
        <v>589</v>
      </c>
      <c r="C150" s="252" t="s">
        <v>584</v>
      </c>
      <c r="D150" s="41">
        <v>42.1</v>
      </c>
      <c r="E150" s="41">
        <v>25.75</v>
      </c>
      <c r="F150" s="116">
        <f t="shared" ref="F150:F164" si="7">AVERAGE(G150:H150)</f>
        <v>5950</v>
      </c>
      <c r="G150" s="17">
        <v>6000</v>
      </c>
      <c r="H150" s="112">
        <v>5900</v>
      </c>
      <c r="I150" s="97" t="s">
        <v>18</v>
      </c>
      <c r="J150" s="40" t="s">
        <v>590</v>
      </c>
      <c r="K150" s="194" t="s">
        <v>591</v>
      </c>
      <c r="L150" s="17" t="s">
        <v>14</v>
      </c>
      <c r="M150" s="108" t="s">
        <v>592</v>
      </c>
      <c r="N150" s="230" t="s">
        <v>593</v>
      </c>
      <c r="O150" s="206" t="s">
        <v>972</v>
      </c>
    </row>
    <row r="151" spans="1:16" s="45" customFormat="1" x14ac:dyDescent="0.25">
      <c r="A151" s="107" t="s">
        <v>545</v>
      </c>
      <c r="B151" s="237" t="s">
        <v>589</v>
      </c>
      <c r="C151" s="252" t="s">
        <v>584</v>
      </c>
      <c r="D151" s="41">
        <v>42.1</v>
      </c>
      <c r="E151" s="41">
        <v>25.75</v>
      </c>
      <c r="F151" s="116">
        <f>AVERAGE(G151:H151)</f>
        <v>5650.5</v>
      </c>
      <c r="G151" s="17">
        <v>5726</v>
      </c>
      <c r="H151" s="112">
        <v>5575</v>
      </c>
      <c r="I151" s="97" t="s">
        <v>26</v>
      </c>
      <c r="J151" s="40" t="s">
        <v>516</v>
      </c>
      <c r="K151" s="194" t="s">
        <v>591</v>
      </c>
      <c r="L151" s="17" t="s">
        <v>14</v>
      </c>
      <c r="M151" s="108" t="s">
        <v>605</v>
      </c>
      <c r="N151" s="230" t="s">
        <v>606</v>
      </c>
      <c r="O151" s="206"/>
    </row>
    <row r="152" spans="1:16" s="45" customFormat="1" x14ac:dyDescent="0.25">
      <c r="A152" s="107" t="s">
        <v>545</v>
      </c>
      <c r="B152" s="237" t="s">
        <v>601</v>
      </c>
      <c r="C152" s="252" t="s">
        <v>584</v>
      </c>
      <c r="D152" s="41">
        <v>42.02</v>
      </c>
      <c r="E152" s="41">
        <v>25.6</v>
      </c>
      <c r="F152" s="116">
        <f t="shared" si="7"/>
        <v>5672</v>
      </c>
      <c r="G152" s="17">
        <v>5718</v>
      </c>
      <c r="H152" s="112">
        <v>5626</v>
      </c>
      <c r="I152" s="97" t="s">
        <v>82</v>
      </c>
      <c r="J152" s="40" t="s">
        <v>69</v>
      </c>
      <c r="K152" s="194" t="s">
        <v>602</v>
      </c>
      <c r="L152" s="17" t="s">
        <v>2</v>
      </c>
      <c r="M152" s="108" t="s">
        <v>603</v>
      </c>
      <c r="N152" s="230" t="s">
        <v>604</v>
      </c>
      <c r="O152" s="206"/>
    </row>
    <row r="153" spans="1:16" s="45" customFormat="1" ht="15.75" thickBot="1" x14ac:dyDescent="0.3">
      <c r="A153" s="107" t="s">
        <v>545</v>
      </c>
      <c r="B153" s="237" t="s">
        <v>637</v>
      </c>
      <c r="C153" s="252" t="s">
        <v>584</v>
      </c>
      <c r="D153" s="41">
        <v>43.14</v>
      </c>
      <c r="E153" s="41">
        <v>25.6</v>
      </c>
      <c r="F153" s="116">
        <f>AVERAGE(G153:H153)</f>
        <v>5385.5</v>
      </c>
      <c r="G153" s="17">
        <v>5466</v>
      </c>
      <c r="H153" s="112">
        <v>5305</v>
      </c>
      <c r="I153" s="97" t="s">
        <v>58</v>
      </c>
      <c r="J153" s="40" t="s">
        <v>69</v>
      </c>
      <c r="K153" s="194" t="s">
        <v>598</v>
      </c>
      <c r="L153" s="17" t="s">
        <v>2</v>
      </c>
      <c r="M153" s="108" t="s">
        <v>638</v>
      </c>
      <c r="N153" s="230" t="s">
        <v>639</v>
      </c>
      <c r="O153" s="206"/>
    </row>
    <row r="154" spans="1:16" s="45" customFormat="1" ht="15.75" thickBot="1" x14ac:dyDescent="0.3">
      <c r="A154" s="107" t="s">
        <v>545</v>
      </c>
      <c r="B154" s="237" t="s">
        <v>597</v>
      </c>
      <c r="C154" s="252" t="s">
        <v>584</v>
      </c>
      <c r="D154" s="41">
        <v>43.37</v>
      </c>
      <c r="E154" s="41">
        <v>23.73</v>
      </c>
      <c r="F154" s="116">
        <f>AVERAGE(G154:H154)</f>
        <v>5934.5</v>
      </c>
      <c r="G154" s="17">
        <v>6032</v>
      </c>
      <c r="H154" s="112">
        <v>5837</v>
      </c>
      <c r="I154" s="174" t="s">
        <v>6</v>
      </c>
      <c r="J154" s="40" t="s">
        <v>69</v>
      </c>
      <c r="K154" s="194" t="s">
        <v>598</v>
      </c>
      <c r="L154" s="17" t="s">
        <v>2</v>
      </c>
      <c r="M154" s="108" t="s">
        <v>599</v>
      </c>
      <c r="N154" s="230" t="s">
        <v>600</v>
      </c>
      <c r="O154" s="206" t="s">
        <v>972</v>
      </c>
    </row>
    <row r="155" spans="1:16" s="45" customFormat="1" ht="15.75" thickBot="1" x14ac:dyDescent="0.3">
      <c r="A155" s="107" t="s">
        <v>545</v>
      </c>
      <c r="B155" s="237" t="s">
        <v>583</v>
      </c>
      <c r="C155" s="252" t="s">
        <v>584</v>
      </c>
      <c r="D155" s="41">
        <v>43.16</v>
      </c>
      <c r="E155" s="41">
        <v>25.88</v>
      </c>
      <c r="F155" s="116">
        <f>AVERAGE(G155:H155)</f>
        <v>5954.5</v>
      </c>
      <c r="G155" s="17">
        <v>6022</v>
      </c>
      <c r="H155" s="112">
        <v>5887</v>
      </c>
      <c r="I155" s="174" t="s">
        <v>585</v>
      </c>
      <c r="J155" s="40" t="s">
        <v>547</v>
      </c>
      <c r="K155" s="194" t="s">
        <v>586</v>
      </c>
      <c r="L155" s="17" t="s">
        <v>14</v>
      </c>
      <c r="M155" s="108" t="s">
        <v>587</v>
      </c>
      <c r="N155" s="230" t="s">
        <v>588</v>
      </c>
      <c r="O155" s="206"/>
    </row>
    <row r="156" spans="1:16" s="45" customFormat="1" x14ac:dyDescent="0.25">
      <c r="A156" s="107" t="s">
        <v>545</v>
      </c>
      <c r="B156" s="237" t="s">
        <v>583</v>
      </c>
      <c r="C156" s="252" t="s">
        <v>584</v>
      </c>
      <c r="D156" s="41">
        <v>43.16</v>
      </c>
      <c r="E156" s="41">
        <v>25.88</v>
      </c>
      <c r="F156" s="116">
        <f>AVERAGE(G156:H156)</f>
        <v>5555</v>
      </c>
      <c r="G156" s="17">
        <v>5619</v>
      </c>
      <c r="H156" s="112">
        <v>5491</v>
      </c>
      <c r="I156" s="97" t="s">
        <v>18</v>
      </c>
      <c r="J156" s="40" t="s">
        <v>567</v>
      </c>
      <c r="K156" s="194" t="s">
        <v>634</v>
      </c>
      <c r="L156" s="17" t="s">
        <v>14</v>
      </c>
      <c r="M156" s="108" t="s">
        <v>635</v>
      </c>
      <c r="N156" s="230" t="s">
        <v>636</v>
      </c>
      <c r="O156" s="206" t="s">
        <v>972</v>
      </c>
    </row>
    <row r="157" spans="1:16" s="45" customFormat="1" x14ac:dyDescent="0.25">
      <c r="A157" s="107" t="s">
        <v>545</v>
      </c>
      <c r="B157" s="237" t="s">
        <v>583</v>
      </c>
      <c r="C157" s="252" t="s">
        <v>584</v>
      </c>
      <c r="D157" s="41">
        <v>43.16</v>
      </c>
      <c r="E157" s="41">
        <v>25.88</v>
      </c>
      <c r="F157" s="116">
        <f>AVERAGE(G157:H157)</f>
        <v>5938.5</v>
      </c>
      <c r="G157" s="17">
        <v>6034</v>
      </c>
      <c r="H157" s="112">
        <v>5843</v>
      </c>
      <c r="I157" s="97" t="s">
        <v>7</v>
      </c>
      <c r="J157" s="40" t="s">
        <v>69</v>
      </c>
      <c r="K157" s="194" t="s">
        <v>594</v>
      </c>
      <c r="L157" s="17" t="s">
        <v>2</v>
      </c>
      <c r="M157" s="108" t="s">
        <v>595</v>
      </c>
      <c r="N157" s="230" t="s">
        <v>596</v>
      </c>
      <c r="O157" s="206"/>
    </row>
    <row r="158" spans="1:16" s="45" customFormat="1" x14ac:dyDescent="0.25">
      <c r="A158" s="107" t="s">
        <v>4127</v>
      </c>
      <c r="B158" s="520" t="s">
        <v>4137</v>
      </c>
      <c r="C158" s="252" t="s">
        <v>584</v>
      </c>
      <c r="D158" s="518">
        <v>43.160890000000002</v>
      </c>
      <c r="E158" s="518">
        <v>25.883410000000001</v>
      </c>
      <c r="F158" s="116">
        <f t="shared" si="7"/>
        <v>5949</v>
      </c>
      <c r="G158" s="17">
        <v>6059</v>
      </c>
      <c r="H158" s="112">
        <v>5839</v>
      </c>
      <c r="I158" s="319" t="s">
        <v>7</v>
      </c>
      <c r="J158" s="344" t="s">
        <v>69</v>
      </c>
      <c r="K158" s="342" t="s">
        <v>4141</v>
      </c>
      <c r="L158" s="514" t="s">
        <v>2</v>
      </c>
      <c r="M158" s="342" t="s">
        <v>595</v>
      </c>
      <c r="N158" s="230"/>
      <c r="O158" s="343"/>
    </row>
    <row r="159" spans="1:16" s="45" customFormat="1" x14ac:dyDescent="0.25">
      <c r="A159" s="107" t="s">
        <v>4127</v>
      </c>
      <c r="B159" s="520" t="s">
        <v>4137</v>
      </c>
      <c r="C159" s="252" t="s">
        <v>584</v>
      </c>
      <c r="D159" s="518">
        <v>43.160890000000002</v>
      </c>
      <c r="E159" s="518">
        <v>25.883410000000001</v>
      </c>
      <c r="F159" s="116">
        <f t="shared" si="7"/>
        <v>5716.5</v>
      </c>
      <c r="G159" s="17">
        <v>5983</v>
      </c>
      <c r="H159" s="112">
        <v>5450</v>
      </c>
      <c r="I159" s="319" t="s">
        <v>4143</v>
      </c>
      <c r="J159" s="344" t="s">
        <v>69</v>
      </c>
      <c r="K159" s="342" t="s">
        <v>4141</v>
      </c>
      <c r="L159" s="514" t="s">
        <v>2</v>
      </c>
      <c r="M159" s="342" t="s">
        <v>4130</v>
      </c>
      <c r="N159" s="230"/>
      <c r="O159" s="343"/>
    </row>
    <row r="160" spans="1:16" s="45" customFormat="1" x14ac:dyDescent="0.25">
      <c r="A160" s="107" t="s">
        <v>4127</v>
      </c>
      <c r="B160" s="520" t="s">
        <v>4137</v>
      </c>
      <c r="C160" s="252" t="s">
        <v>584</v>
      </c>
      <c r="D160" s="518">
        <v>43.160890000000002</v>
      </c>
      <c r="E160" s="518">
        <v>25.883410000000001</v>
      </c>
      <c r="F160" s="116">
        <f t="shared" si="7"/>
        <v>5775</v>
      </c>
      <c r="G160" s="17">
        <v>6100</v>
      </c>
      <c r="H160" s="112">
        <v>5450</v>
      </c>
      <c r="I160" s="319" t="s">
        <v>889</v>
      </c>
      <c r="J160" s="344" t="s">
        <v>69</v>
      </c>
      <c r="K160" s="342" t="s">
        <v>4141</v>
      </c>
      <c r="L160" s="514" t="s">
        <v>2</v>
      </c>
      <c r="M160" s="342" t="s">
        <v>4131</v>
      </c>
      <c r="N160" s="230"/>
      <c r="O160" s="343"/>
    </row>
    <row r="161" spans="1:15" s="45" customFormat="1" x14ac:dyDescent="0.25">
      <c r="A161" s="107" t="s">
        <v>4127</v>
      </c>
      <c r="B161" s="520" t="s">
        <v>4137</v>
      </c>
      <c r="C161" s="252" t="s">
        <v>584</v>
      </c>
      <c r="D161" s="518">
        <v>43.160890000000002</v>
      </c>
      <c r="E161" s="518">
        <v>25.883410000000001</v>
      </c>
      <c r="F161" s="116">
        <f t="shared" si="7"/>
        <v>5775</v>
      </c>
      <c r="G161" s="17">
        <v>6100</v>
      </c>
      <c r="H161" s="112">
        <v>5450</v>
      </c>
      <c r="I161" s="319" t="s">
        <v>18</v>
      </c>
      <c r="J161" s="344" t="s">
        <v>84</v>
      </c>
      <c r="K161" s="342" t="s">
        <v>4141</v>
      </c>
      <c r="L161" s="514" t="s">
        <v>14</v>
      </c>
      <c r="M161" s="342" t="s">
        <v>4132</v>
      </c>
      <c r="N161" s="230"/>
      <c r="O161" s="343"/>
    </row>
    <row r="162" spans="1:15" s="45" customFormat="1" x14ac:dyDescent="0.25">
      <c r="A162" s="107" t="s">
        <v>4127</v>
      </c>
      <c r="B162" s="520" t="s">
        <v>4137</v>
      </c>
      <c r="C162" s="252" t="s">
        <v>584</v>
      </c>
      <c r="D162" s="518">
        <v>43.160890000000002</v>
      </c>
      <c r="E162" s="518">
        <v>25.883410000000001</v>
      </c>
      <c r="F162" s="116">
        <f t="shared" si="7"/>
        <v>5775</v>
      </c>
      <c r="G162" s="17">
        <v>6100</v>
      </c>
      <c r="H162" s="112">
        <v>5450</v>
      </c>
      <c r="I162" s="319" t="s">
        <v>3024</v>
      </c>
      <c r="J162" s="344" t="s">
        <v>4145</v>
      </c>
      <c r="K162" s="342" t="s">
        <v>4141</v>
      </c>
      <c r="L162" s="514" t="s">
        <v>14</v>
      </c>
      <c r="M162" s="342" t="s">
        <v>4133</v>
      </c>
      <c r="N162" s="230"/>
      <c r="O162" s="343"/>
    </row>
    <row r="163" spans="1:15" s="45" customFormat="1" x14ac:dyDescent="0.25">
      <c r="A163" s="107" t="s">
        <v>4127</v>
      </c>
      <c r="B163" s="520" t="s">
        <v>4136</v>
      </c>
      <c r="C163" s="252" t="s">
        <v>584</v>
      </c>
      <c r="D163" s="518">
        <v>42.1</v>
      </c>
      <c r="E163" s="518">
        <v>25.75</v>
      </c>
      <c r="F163" s="116">
        <f>AVERAGE(G163:H163)</f>
        <v>5986.5</v>
      </c>
      <c r="G163" s="17">
        <v>6073</v>
      </c>
      <c r="H163" s="112">
        <v>5900</v>
      </c>
      <c r="I163" s="319" t="s">
        <v>18</v>
      </c>
      <c r="J163" s="344" t="s">
        <v>4145</v>
      </c>
      <c r="K163" s="342" t="s">
        <v>4140</v>
      </c>
      <c r="L163" s="514" t="s">
        <v>14</v>
      </c>
      <c r="M163" s="342" t="s">
        <v>592</v>
      </c>
      <c r="N163" s="230"/>
      <c r="O163" s="343"/>
    </row>
    <row r="164" spans="1:15" s="45" customFormat="1" ht="15.75" thickBot="1" x14ac:dyDescent="0.3">
      <c r="A164" s="107" t="s">
        <v>4127</v>
      </c>
      <c r="B164" s="520" t="s">
        <v>4136</v>
      </c>
      <c r="C164" s="252" t="s">
        <v>584</v>
      </c>
      <c r="D164" s="518">
        <v>42.1</v>
      </c>
      <c r="E164" s="518">
        <v>25.75</v>
      </c>
      <c r="F164" s="116">
        <f t="shared" si="7"/>
        <v>5647</v>
      </c>
      <c r="G164" s="17">
        <v>5723</v>
      </c>
      <c r="H164" s="112">
        <v>5571</v>
      </c>
      <c r="I164" s="319" t="s">
        <v>26</v>
      </c>
      <c r="J164" s="344" t="s">
        <v>420</v>
      </c>
      <c r="K164" s="342" t="s">
        <v>4140</v>
      </c>
      <c r="L164" s="514" t="s">
        <v>14</v>
      </c>
      <c r="M164" s="342" t="s">
        <v>605</v>
      </c>
      <c r="N164" s="230"/>
      <c r="O164" s="343"/>
    </row>
    <row r="165" spans="1:15" s="45" customFormat="1" ht="15.75" thickBot="1" x14ac:dyDescent="0.3">
      <c r="A165" s="107" t="s">
        <v>4127</v>
      </c>
      <c r="B165" s="520" t="s">
        <v>4138</v>
      </c>
      <c r="C165" s="252" t="s">
        <v>584</v>
      </c>
      <c r="D165" s="518">
        <v>43.374336999999997</v>
      </c>
      <c r="E165" s="518">
        <v>23.729298</v>
      </c>
      <c r="F165" s="116">
        <f>AVERAGE(G165:H165)</f>
        <v>5931</v>
      </c>
      <c r="G165" s="17">
        <v>6057</v>
      </c>
      <c r="H165" s="112">
        <v>5805</v>
      </c>
      <c r="I165" s="182" t="s">
        <v>6</v>
      </c>
      <c r="J165" s="344" t="s">
        <v>69</v>
      </c>
      <c r="K165" s="342" t="s">
        <v>4142</v>
      </c>
      <c r="L165" s="514" t="s">
        <v>2</v>
      </c>
      <c r="M165" s="342" t="s">
        <v>599</v>
      </c>
      <c r="N165" s="230"/>
      <c r="O165" s="343"/>
    </row>
    <row r="166" spans="1:15" s="45" customFormat="1" x14ac:dyDescent="0.25">
      <c r="A166" s="665" t="s">
        <v>4249</v>
      </c>
      <c r="B166" s="669"/>
      <c r="C166" s="670"/>
      <c r="D166" s="684">
        <f>AVERAGE(D150:D165)</f>
        <v>42.849299187500002</v>
      </c>
      <c r="E166" s="684">
        <f>AVERAGE(E150:E165)</f>
        <v>25.544771750000002</v>
      </c>
      <c r="F166" s="685">
        <f>AVERAGE(F150:F165)</f>
        <v>5787.21875</v>
      </c>
      <c r="G166" s="12"/>
      <c r="H166" s="113"/>
      <c r="I166" s="358"/>
      <c r="J166" s="281"/>
      <c r="K166" s="232"/>
      <c r="L166" s="29"/>
      <c r="M166" s="232"/>
      <c r="N166" s="354"/>
      <c r="O166" s="61"/>
    </row>
    <row r="167" spans="1:15" s="99" customFormat="1" x14ac:dyDescent="0.25">
      <c r="A167" s="231" t="s">
        <v>4572</v>
      </c>
      <c r="B167" s="373"/>
      <c r="C167" s="374"/>
      <c r="D167" s="375"/>
      <c r="E167" s="375"/>
      <c r="F167" s="376"/>
      <c r="G167" s="377"/>
      <c r="H167" s="113"/>
      <c r="I167" s="378"/>
      <c r="J167" s="378"/>
      <c r="K167" s="232"/>
      <c r="L167" s="379"/>
      <c r="M167" s="232"/>
      <c r="N167" s="354"/>
      <c r="O167" s="372"/>
    </row>
    <row r="168" spans="1:15" s="99" customFormat="1" x14ac:dyDescent="0.25">
      <c r="A168" s="109"/>
      <c r="B168" s="373"/>
      <c r="C168" s="374"/>
      <c r="D168" s="375"/>
      <c r="E168" s="375"/>
      <c r="F168" s="376"/>
      <c r="G168" s="377"/>
      <c r="H168" s="113"/>
      <c r="I168" s="378"/>
      <c r="J168" s="378"/>
      <c r="K168" s="232"/>
      <c r="L168" s="379"/>
      <c r="M168" s="232"/>
      <c r="N168" s="354"/>
      <c r="O168" s="372"/>
    </row>
    <row r="169" spans="1:15" s="99" customFormat="1" x14ac:dyDescent="0.25">
      <c r="A169" s="665" t="s">
        <v>4265</v>
      </c>
      <c r="B169" s="802"/>
      <c r="C169" s="803"/>
      <c r="D169" s="375"/>
      <c r="E169" s="375"/>
      <c r="F169" s="376"/>
      <c r="G169" s="377"/>
      <c r="H169" s="113"/>
      <c r="I169" s="378"/>
      <c r="J169" s="378"/>
      <c r="K169" s="232"/>
      <c r="L169" s="379"/>
      <c r="M169" s="232"/>
      <c r="N169" s="354"/>
      <c r="O169" s="372"/>
    </row>
    <row r="170" spans="1:15" s="100" customFormat="1" ht="32.450000000000003" customHeight="1" x14ac:dyDescent="0.25">
      <c r="A170" s="507" t="s">
        <v>4291</v>
      </c>
      <c r="B170" s="508" t="s">
        <v>1247</v>
      </c>
      <c r="C170" s="519" t="s">
        <v>0</v>
      </c>
      <c r="D170" s="510" t="s">
        <v>969</v>
      </c>
      <c r="E170" s="510" t="s">
        <v>2323</v>
      </c>
      <c r="F170" s="510" t="s">
        <v>398</v>
      </c>
      <c r="G170" s="511" t="s">
        <v>399</v>
      </c>
      <c r="H170" s="512" t="s">
        <v>400</v>
      </c>
      <c r="I170" s="101" t="s">
        <v>2322</v>
      </c>
      <c r="J170" s="589" t="s">
        <v>3927</v>
      </c>
      <c r="K170" s="590" t="s">
        <v>3250</v>
      </c>
      <c r="L170" s="591" t="s">
        <v>1</v>
      </c>
      <c r="M170" s="590" t="s">
        <v>3486</v>
      </c>
      <c r="N170" s="640" t="s">
        <v>3487</v>
      </c>
      <c r="O170" s="654" t="s">
        <v>2324</v>
      </c>
    </row>
    <row r="171" spans="1:15" s="45" customFormat="1" x14ac:dyDescent="0.25">
      <c r="A171" s="107" t="s">
        <v>381</v>
      </c>
      <c r="B171" s="237" t="s">
        <v>845</v>
      </c>
      <c r="C171" s="252" t="s">
        <v>844</v>
      </c>
      <c r="D171" s="41">
        <v>46.775080000000003</v>
      </c>
      <c r="E171" s="41">
        <v>23.502880000000001</v>
      </c>
      <c r="F171" s="116">
        <f t="shared" ref="F171:F177" si="8">(G171+H171)/2</f>
        <v>6000</v>
      </c>
      <c r="G171" s="27">
        <v>6500</v>
      </c>
      <c r="H171" s="115">
        <v>5500</v>
      </c>
      <c r="I171" s="97" t="s">
        <v>34</v>
      </c>
      <c r="J171" s="40" t="s">
        <v>69</v>
      </c>
      <c r="K171" s="108" t="s">
        <v>2560</v>
      </c>
      <c r="L171" s="17" t="s">
        <v>69</v>
      </c>
      <c r="M171" s="108" t="s">
        <v>3806</v>
      </c>
      <c r="N171" s="230"/>
      <c r="O171" s="248" t="s">
        <v>4216</v>
      </c>
    </row>
    <row r="172" spans="1:15" s="45" customFormat="1" x14ac:dyDescent="0.25">
      <c r="A172" s="107" t="s">
        <v>381</v>
      </c>
      <c r="B172" s="237" t="s">
        <v>845</v>
      </c>
      <c r="C172" s="252" t="s">
        <v>844</v>
      </c>
      <c r="D172" s="41">
        <v>46.775080000000003</v>
      </c>
      <c r="E172" s="41">
        <v>23.502880000000001</v>
      </c>
      <c r="F172" s="116">
        <f t="shared" si="8"/>
        <v>6000</v>
      </c>
      <c r="G172" s="27">
        <v>6500</v>
      </c>
      <c r="H172" s="115">
        <v>5500</v>
      </c>
      <c r="I172" s="97" t="s">
        <v>32</v>
      </c>
      <c r="J172" s="40" t="s">
        <v>69</v>
      </c>
      <c r="K172" s="108" t="s">
        <v>2513</v>
      </c>
      <c r="L172" s="17" t="s">
        <v>69</v>
      </c>
      <c r="M172" s="108" t="s">
        <v>3807</v>
      </c>
      <c r="N172" s="230"/>
      <c r="O172" s="205" t="s">
        <v>3847</v>
      </c>
    </row>
    <row r="173" spans="1:15" s="45" customFormat="1" x14ac:dyDescent="0.25">
      <c r="A173" s="107" t="s">
        <v>381</v>
      </c>
      <c r="B173" s="237" t="s">
        <v>846</v>
      </c>
      <c r="C173" s="252" t="s">
        <v>844</v>
      </c>
      <c r="D173" s="41">
        <v>45.936430000000001</v>
      </c>
      <c r="E173" s="41">
        <v>26.703749999999999</v>
      </c>
      <c r="F173" s="116">
        <f t="shared" si="8"/>
        <v>6000</v>
      </c>
      <c r="G173" s="27">
        <v>6500</v>
      </c>
      <c r="H173" s="115">
        <v>5500</v>
      </c>
      <c r="I173" s="97" t="s">
        <v>18</v>
      </c>
      <c r="J173" s="40" t="s">
        <v>69</v>
      </c>
      <c r="K173" s="108" t="s">
        <v>2513</v>
      </c>
      <c r="L173" s="17" t="s">
        <v>69</v>
      </c>
      <c r="M173" s="108" t="s">
        <v>3808</v>
      </c>
      <c r="N173" s="230"/>
      <c r="O173" s="205"/>
    </row>
    <row r="174" spans="1:15" s="2" customFormat="1" x14ac:dyDescent="0.25">
      <c r="A174" s="107" t="s">
        <v>381</v>
      </c>
      <c r="B174" s="237" t="s">
        <v>843</v>
      </c>
      <c r="C174" s="252" t="s">
        <v>844</v>
      </c>
      <c r="D174" s="41">
        <v>44.27225</v>
      </c>
      <c r="E174" s="41">
        <v>23.898340000000001</v>
      </c>
      <c r="F174" s="116">
        <f>(G174+H174)/2</f>
        <v>6000</v>
      </c>
      <c r="G174" s="27">
        <v>6500</v>
      </c>
      <c r="H174" s="115">
        <v>5500</v>
      </c>
      <c r="I174" s="97" t="s">
        <v>18</v>
      </c>
      <c r="J174" s="40" t="s">
        <v>69</v>
      </c>
      <c r="K174" s="108" t="s">
        <v>2513</v>
      </c>
      <c r="L174" s="17" t="s">
        <v>69</v>
      </c>
      <c r="M174" s="108" t="s">
        <v>3809</v>
      </c>
      <c r="N174" s="230"/>
      <c r="O174" s="206"/>
    </row>
    <row r="175" spans="1:15" s="2" customFormat="1" x14ac:dyDescent="0.25">
      <c r="A175" s="107" t="s">
        <v>381</v>
      </c>
      <c r="B175" s="237" t="s">
        <v>843</v>
      </c>
      <c r="C175" s="252" t="s">
        <v>844</v>
      </c>
      <c r="D175" s="41">
        <v>44.27225</v>
      </c>
      <c r="E175" s="41">
        <v>23.898340000000001</v>
      </c>
      <c r="F175" s="116">
        <f>(G175+H175)/2</f>
        <v>6000</v>
      </c>
      <c r="G175" s="27">
        <v>6500</v>
      </c>
      <c r="H175" s="115">
        <v>5500</v>
      </c>
      <c r="I175" s="97" t="s">
        <v>26</v>
      </c>
      <c r="J175" s="40" t="s">
        <v>69</v>
      </c>
      <c r="K175" s="108" t="s">
        <v>2513</v>
      </c>
      <c r="L175" s="17" t="s">
        <v>69</v>
      </c>
      <c r="M175" s="108" t="s">
        <v>3810</v>
      </c>
      <c r="N175" s="230"/>
      <c r="O175" s="205"/>
    </row>
    <row r="176" spans="1:15" s="45" customFormat="1" ht="15.75" thickBot="1" x14ac:dyDescent="0.3">
      <c r="A176" s="107" t="s">
        <v>545</v>
      </c>
      <c r="B176" s="238" t="s">
        <v>2840</v>
      </c>
      <c r="C176" s="252" t="s">
        <v>844</v>
      </c>
      <c r="D176" s="41">
        <v>44.262715999999998</v>
      </c>
      <c r="E176" s="41">
        <v>23.900342999999999</v>
      </c>
      <c r="F176" s="116">
        <f t="shared" si="8"/>
        <v>5428</v>
      </c>
      <c r="G176" s="27">
        <v>5484</v>
      </c>
      <c r="H176" s="115">
        <v>5372</v>
      </c>
      <c r="I176" s="184" t="s">
        <v>871</v>
      </c>
      <c r="J176" s="186" t="s">
        <v>69</v>
      </c>
      <c r="K176" s="108" t="s">
        <v>2513</v>
      </c>
      <c r="L176" s="17" t="s">
        <v>2</v>
      </c>
      <c r="M176" s="108" t="s">
        <v>2836</v>
      </c>
      <c r="N176" s="230" t="s">
        <v>2837</v>
      </c>
      <c r="O176" s="205"/>
    </row>
    <row r="177" spans="1:16" s="45" customFormat="1" ht="15.75" thickBot="1" x14ac:dyDescent="0.3">
      <c r="A177" s="107" t="s">
        <v>545</v>
      </c>
      <c r="B177" s="238" t="s">
        <v>2841</v>
      </c>
      <c r="C177" s="252" t="s">
        <v>844</v>
      </c>
      <c r="D177" s="41">
        <v>45.481999999999999</v>
      </c>
      <c r="E177" s="41">
        <v>26.995999999999999</v>
      </c>
      <c r="F177" s="116">
        <f t="shared" si="8"/>
        <v>5670.5</v>
      </c>
      <c r="G177" s="27">
        <v>5715</v>
      </c>
      <c r="H177" s="115">
        <v>5626</v>
      </c>
      <c r="I177" s="185" t="s">
        <v>126</v>
      </c>
      <c r="J177" s="186" t="s">
        <v>651</v>
      </c>
      <c r="K177" s="108" t="s">
        <v>2513</v>
      </c>
      <c r="L177" s="17" t="s">
        <v>14</v>
      </c>
      <c r="M177" s="108" t="s">
        <v>2838</v>
      </c>
      <c r="N177" s="230" t="s">
        <v>2839</v>
      </c>
      <c r="O177" s="205" t="s">
        <v>972</v>
      </c>
    </row>
    <row r="178" spans="1:16" s="45" customFormat="1" x14ac:dyDescent="0.25">
      <c r="A178" s="107" t="s">
        <v>3996</v>
      </c>
      <c r="B178" s="238" t="s">
        <v>1685</v>
      </c>
      <c r="C178" s="252" t="s">
        <v>844</v>
      </c>
      <c r="D178" s="41">
        <v>44.515000000000001</v>
      </c>
      <c r="E178" s="41">
        <v>22.742000000000001</v>
      </c>
      <c r="F178" s="116"/>
      <c r="G178" s="27"/>
      <c r="H178" s="115"/>
      <c r="I178" s="326" t="s">
        <v>1686</v>
      </c>
      <c r="J178" s="281" t="s">
        <v>69</v>
      </c>
      <c r="K178" s="108" t="s">
        <v>69</v>
      </c>
      <c r="L178" s="17" t="s">
        <v>69</v>
      </c>
      <c r="M178" s="280" t="s">
        <v>4044</v>
      </c>
      <c r="N178" s="239"/>
      <c r="O178" s="231" t="s">
        <v>4217</v>
      </c>
    </row>
    <row r="179" spans="1:16" s="45" customFormat="1" x14ac:dyDescent="0.25">
      <c r="A179" s="107" t="s">
        <v>3996</v>
      </c>
      <c r="B179" s="238" t="s">
        <v>1685</v>
      </c>
      <c r="C179" s="252" t="s">
        <v>844</v>
      </c>
      <c r="D179" s="41">
        <v>44.515000000000001</v>
      </c>
      <c r="E179" s="41">
        <v>22.742000000000001</v>
      </c>
      <c r="F179" s="116"/>
      <c r="G179" s="27"/>
      <c r="H179" s="115"/>
      <c r="I179" s="326" t="s">
        <v>18</v>
      </c>
      <c r="J179" s="281" t="s">
        <v>69</v>
      </c>
      <c r="K179" s="108" t="s">
        <v>69</v>
      </c>
      <c r="L179" s="17" t="s">
        <v>69</v>
      </c>
      <c r="M179" s="280" t="s">
        <v>4045</v>
      </c>
      <c r="N179" s="239"/>
      <c r="O179" s="205" t="s">
        <v>4048</v>
      </c>
    </row>
    <row r="180" spans="1:16" s="45" customFormat="1" x14ac:dyDescent="0.25">
      <c r="A180" s="107" t="s">
        <v>3996</v>
      </c>
      <c r="B180" s="238" t="s">
        <v>1685</v>
      </c>
      <c r="C180" s="252" t="s">
        <v>844</v>
      </c>
      <c r="D180" s="41">
        <v>44.515000000000001</v>
      </c>
      <c r="E180" s="41">
        <v>22.742000000000001</v>
      </c>
      <c r="F180" s="116"/>
      <c r="G180" s="27"/>
      <c r="H180" s="115"/>
      <c r="I180" s="326" t="s">
        <v>273</v>
      </c>
      <c r="J180" s="281" t="s">
        <v>69</v>
      </c>
      <c r="K180" s="108" t="s">
        <v>69</v>
      </c>
      <c r="L180" s="17" t="s">
        <v>69</v>
      </c>
      <c r="M180" s="280" t="s">
        <v>4046</v>
      </c>
      <c r="N180" s="239"/>
      <c r="O180" s="205" t="s">
        <v>4219</v>
      </c>
    </row>
    <row r="181" spans="1:16" s="45" customFormat="1" ht="15.75" thickBot="1" x14ac:dyDescent="0.3">
      <c r="A181" s="107" t="s">
        <v>3996</v>
      </c>
      <c r="B181" s="238" t="s">
        <v>1685</v>
      </c>
      <c r="C181" s="252" t="s">
        <v>844</v>
      </c>
      <c r="D181" s="41">
        <v>44.515000000000001</v>
      </c>
      <c r="E181" s="41">
        <v>22.742000000000001</v>
      </c>
      <c r="F181" s="116"/>
      <c r="G181" s="27"/>
      <c r="H181" s="115"/>
      <c r="I181" s="326" t="s">
        <v>18</v>
      </c>
      <c r="J181" s="281" t="s">
        <v>69</v>
      </c>
      <c r="K181" s="108" t="s">
        <v>69</v>
      </c>
      <c r="L181" s="17" t="s">
        <v>69</v>
      </c>
      <c r="M181" s="280" t="s">
        <v>4047</v>
      </c>
      <c r="N181" s="239"/>
      <c r="O181" s="205"/>
    </row>
    <row r="182" spans="1:16" s="45" customFormat="1" ht="15.75" thickBot="1" x14ac:dyDescent="0.3">
      <c r="A182" s="107" t="s">
        <v>3996</v>
      </c>
      <c r="B182" s="238" t="s">
        <v>4052</v>
      </c>
      <c r="C182" s="252" t="s">
        <v>844</v>
      </c>
      <c r="D182" s="41">
        <f>44+15/60+40/3600</f>
        <v>44.261111111111113</v>
      </c>
      <c r="E182" s="41">
        <f>26+52/60+3/3600</f>
        <v>26.8675</v>
      </c>
      <c r="F182" s="116"/>
      <c r="G182" s="27"/>
      <c r="H182" s="115"/>
      <c r="I182" s="327" t="s">
        <v>126</v>
      </c>
      <c r="J182" s="281" t="s">
        <v>69</v>
      </c>
      <c r="K182" s="108" t="s">
        <v>69</v>
      </c>
      <c r="L182" s="17" t="s">
        <v>69</v>
      </c>
      <c r="M182" s="280" t="s">
        <v>4053</v>
      </c>
      <c r="N182" s="230"/>
      <c r="O182" s="391" t="s">
        <v>4218</v>
      </c>
    </row>
    <row r="183" spans="1:16" s="45" customFormat="1" x14ac:dyDescent="0.25">
      <c r="A183" s="107" t="s">
        <v>3996</v>
      </c>
      <c r="B183" s="238" t="s">
        <v>4052</v>
      </c>
      <c r="C183" s="252" t="s">
        <v>844</v>
      </c>
      <c r="D183" s="41">
        <f>44+15/60+40/3600</f>
        <v>44.261111111111113</v>
      </c>
      <c r="E183" s="41">
        <f>26+52/60+3/3600</f>
        <v>26.8675</v>
      </c>
      <c r="F183" s="116"/>
      <c r="G183" s="27"/>
      <c r="H183" s="115"/>
      <c r="I183" s="326" t="s">
        <v>784</v>
      </c>
      <c r="J183" s="281" t="s">
        <v>69</v>
      </c>
      <c r="K183" s="108" t="s">
        <v>69</v>
      </c>
      <c r="L183" s="17" t="s">
        <v>69</v>
      </c>
      <c r="M183" s="280" t="s">
        <v>4054</v>
      </c>
      <c r="N183" s="230"/>
      <c r="O183" s="391" t="s">
        <v>4220</v>
      </c>
    </row>
    <row r="184" spans="1:16" s="45" customFormat="1" x14ac:dyDescent="0.25">
      <c r="A184" s="107" t="s">
        <v>4127</v>
      </c>
      <c r="B184" s="515" t="s">
        <v>4176</v>
      </c>
      <c r="C184" s="252" t="s">
        <v>844</v>
      </c>
      <c r="D184" s="518">
        <v>44.26</v>
      </c>
      <c r="E184" s="518">
        <v>23.9</v>
      </c>
      <c r="F184" s="116">
        <f>(G184+H184)/2</f>
        <v>5750</v>
      </c>
      <c r="G184" s="27">
        <v>6000</v>
      </c>
      <c r="H184" s="115">
        <v>5500</v>
      </c>
      <c r="I184" s="319" t="s">
        <v>273</v>
      </c>
      <c r="J184" s="344" t="s">
        <v>865</v>
      </c>
      <c r="K184" s="108" t="s">
        <v>170</v>
      </c>
      <c r="L184" s="514" t="s">
        <v>14</v>
      </c>
      <c r="M184" s="342" t="s">
        <v>4170</v>
      </c>
      <c r="N184" s="230"/>
      <c r="O184" s="205"/>
      <c r="P184" s="344"/>
    </row>
    <row r="185" spans="1:16" s="45" customFormat="1" x14ac:dyDescent="0.25">
      <c r="A185" s="107" t="s">
        <v>4127</v>
      </c>
      <c r="B185" s="515" t="s">
        <v>4177</v>
      </c>
      <c r="C185" s="252" t="s">
        <v>844</v>
      </c>
      <c r="D185" s="518">
        <v>46.189619</v>
      </c>
      <c r="E185" s="518">
        <v>27.669532</v>
      </c>
      <c r="F185" s="116">
        <f t="shared" ref="F185:F189" si="9">(G185+H185)/2</f>
        <v>5650</v>
      </c>
      <c r="G185" s="27">
        <v>6000</v>
      </c>
      <c r="H185" s="115">
        <v>5300</v>
      </c>
      <c r="I185" s="319" t="s">
        <v>4181</v>
      </c>
      <c r="J185" s="344" t="s">
        <v>4182</v>
      </c>
      <c r="K185" s="108" t="s">
        <v>170</v>
      </c>
      <c r="L185" s="514" t="s">
        <v>14</v>
      </c>
      <c r="M185" s="342" t="s">
        <v>4171</v>
      </c>
      <c r="N185" s="230"/>
      <c r="O185" s="205"/>
      <c r="P185" s="344"/>
    </row>
    <row r="186" spans="1:16" s="45" customFormat="1" x14ac:dyDescent="0.25">
      <c r="A186" s="107" t="s">
        <v>4127</v>
      </c>
      <c r="B186" s="515" t="s">
        <v>4178</v>
      </c>
      <c r="C186" s="252" t="s">
        <v>844</v>
      </c>
      <c r="D186" s="518">
        <v>47.746699999999997</v>
      </c>
      <c r="E186" s="518">
        <v>22.395</v>
      </c>
      <c r="F186" s="116">
        <f t="shared" si="9"/>
        <v>5188</v>
      </c>
      <c r="G186" s="27">
        <v>5305</v>
      </c>
      <c r="H186" s="115">
        <v>5071</v>
      </c>
      <c r="I186" s="319" t="s">
        <v>18</v>
      </c>
      <c r="J186" s="344" t="s">
        <v>1378</v>
      </c>
      <c r="K186" s="108" t="s">
        <v>170</v>
      </c>
      <c r="L186" s="514" t="s">
        <v>14</v>
      </c>
      <c r="M186" s="342" t="s">
        <v>4172</v>
      </c>
      <c r="N186" s="230"/>
      <c r="O186" s="205"/>
      <c r="P186" s="344"/>
    </row>
    <row r="187" spans="1:16" s="45" customFormat="1" x14ac:dyDescent="0.25">
      <c r="A187" s="107" t="s">
        <v>4127</v>
      </c>
      <c r="B187" s="515" t="s">
        <v>4179</v>
      </c>
      <c r="C187" s="252" t="s">
        <v>844</v>
      </c>
      <c r="D187" s="518">
        <v>44.322017000000002</v>
      </c>
      <c r="E187" s="518">
        <v>23.838042999999999</v>
      </c>
      <c r="F187" s="116">
        <f t="shared" si="9"/>
        <v>4900</v>
      </c>
      <c r="G187" s="27">
        <v>5500</v>
      </c>
      <c r="H187" s="115">
        <v>4300</v>
      </c>
      <c r="I187" s="319" t="s">
        <v>109</v>
      </c>
      <c r="J187" s="344" t="s">
        <v>4183</v>
      </c>
      <c r="K187" s="108" t="s">
        <v>170</v>
      </c>
      <c r="L187" s="514" t="s">
        <v>14</v>
      </c>
      <c r="M187" s="342" t="s">
        <v>4173</v>
      </c>
      <c r="N187" s="230"/>
      <c r="O187" s="205"/>
      <c r="P187" s="344"/>
    </row>
    <row r="188" spans="1:16" s="45" customFormat="1" ht="15.75" thickBot="1" x14ac:dyDescent="0.3">
      <c r="A188" s="107" t="s">
        <v>4127</v>
      </c>
      <c r="B188" s="515" t="s">
        <v>4179</v>
      </c>
      <c r="C188" s="252" t="s">
        <v>844</v>
      </c>
      <c r="D188" s="518">
        <v>44.322017000000002</v>
      </c>
      <c r="E188" s="518">
        <v>23.838042999999999</v>
      </c>
      <c r="F188" s="116">
        <f t="shared" si="9"/>
        <v>4900</v>
      </c>
      <c r="G188" s="27">
        <v>5500</v>
      </c>
      <c r="H188" s="115">
        <v>4300</v>
      </c>
      <c r="I188" s="319" t="s">
        <v>871</v>
      </c>
      <c r="J188" s="344" t="s">
        <v>69</v>
      </c>
      <c r="K188" s="108" t="s">
        <v>170</v>
      </c>
      <c r="L188" s="514" t="s">
        <v>2</v>
      </c>
      <c r="M188" s="342" t="s">
        <v>4174</v>
      </c>
      <c r="N188" s="230"/>
      <c r="O188" s="205"/>
      <c r="P188" s="344"/>
    </row>
    <row r="189" spans="1:16" s="45" customFormat="1" ht="15.75" thickBot="1" x14ac:dyDescent="0.3">
      <c r="A189" s="107" t="s">
        <v>4127</v>
      </c>
      <c r="B189" s="515" t="s">
        <v>4180</v>
      </c>
      <c r="C189" s="252" t="s">
        <v>844</v>
      </c>
      <c r="D189" s="518">
        <v>44.303227999999997</v>
      </c>
      <c r="E189" s="518">
        <v>26.400452000000001</v>
      </c>
      <c r="F189" s="116">
        <f t="shared" si="9"/>
        <v>4790.5</v>
      </c>
      <c r="G189" s="27">
        <v>4895</v>
      </c>
      <c r="H189" s="115">
        <v>4686</v>
      </c>
      <c r="I189" s="182" t="s">
        <v>787</v>
      </c>
      <c r="J189" s="344" t="s">
        <v>4184</v>
      </c>
      <c r="K189" s="108" t="s">
        <v>170</v>
      </c>
      <c r="L189" s="17" t="s">
        <v>14</v>
      </c>
      <c r="M189" s="342" t="s">
        <v>4175</v>
      </c>
      <c r="N189" s="230"/>
      <c r="O189" s="205"/>
      <c r="P189" s="344"/>
    </row>
    <row r="190" spans="1:16" s="100" customFormat="1" ht="14.45" customHeight="1" x14ac:dyDescent="0.25">
      <c r="A190" s="87" t="s">
        <v>545</v>
      </c>
      <c r="B190" s="238" t="s">
        <v>2844</v>
      </c>
      <c r="C190" s="521" t="s">
        <v>1851</v>
      </c>
      <c r="D190" s="41">
        <v>44.9</v>
      </c>
      <c r="E190" s="41">
        <v>19.75</v>
      </c>
      <c r="F190" s="511">
        <f>(G190+H190)/2</f>
        <v>5490</v>
      </c>
      <c r="G190" s="522">
        <v>5604</v>
      </c>
      <c r="H190" s="523">
        <v>5376</v>
      </c>
      <c r="I190" s="282" t="s">
        <v>32</v>
      </c>
      <c r="J190" s="186" t="s">
        <v>133</v>
      </c>
      <c r="K190" s="194" t="s">
        <v>594</v>
      </c>
      <c r="L190" s="595" t="s">
        <v>14</v>
      </c>
      <c r="M190" s="108" t="s">
        <v>2842</v>
      </c>
      <c r="N190" s="230" t="s">
        <v>2843</v>
      </c>
      <c r="O190" s="655" t="s">
        <v>972</v>
      </c>
    </row>
    <row r="191" spans="1:16" s="92" customFormat="1" ht="12" customHeight="1" x14ac:dyDescent="0.25">
      <c r="A191" s="524" t="s">
        <v>3996</v>
      </c>
      <c r="B191" s="310" t="s">
        <v>2299</v>
      </c>
      <c r="C191" s="521" t="s">
        <v>1851</v>
      </c>
      <c r="D191" s="41">
        <v>44.762</v>
      </c>
      <c r="E191" s="41">
        <v>20.623200000000001</v>
      </c>
      <c r="F191" s="511">
        <f>(G191+H191)/2</f>
        <v>5390</v>
      </c>
      <c r="G191" s="321">
        <v>5476</v>
      </c>
      <c r="H191" s="517">
        <v>5304</v>
      </c>
      <c r="I191" s="326" t="s">
        <v>138</v>
      </c>
      <c r="J191" s="40" t="s">
        <v>69</v>
      </c>
      <c r="K191" s="194"/>
      <c r="L191" s="17" t="s">
        <v>69</v>
      </c>
      <c r="M191" s="280" t="s">
        <v>4057</v>
      </c>
      <c r="N191" s="239"/>
      <c r="O191" s="209"/>
    </row>
    <row r="192" spans="1:16" s="92" customFormat="1" ht="12" customHeight="1" thickBot="1" x14ac:dyDescent="0.3">
      <c r="A192" s="524" t="s">
        <v>3996</v>
      </c>
      <c r="B192" s="310" t="s">
        <v>2299</v>
      </c>
      <c r="C192" s="521" t="s">
        <v>1851</v>
      </c>
      <c r="D192" s="41">
        <v>44.762</v>
      </c>
      <c r="E192" s="41">
        <v>20.623200000000001</v>
      </c>
      <c r="F192" s="511">
        <f t="shared" ref="F192:F198" si="10">(G192+H192)/2</f>
        <v>5390</v>
      </c>
      <c r="G192" s="321">
        <v>5476</v>
      </c>
      <c r="H192" s="517">
        <v>5304</v>
      </c>
      <c r="I192" s="326" t="s">
        <v>32</v>
      </c>
      <c r="J192" s="40" t="s">
        <v>69</v>
      </c>
      <c r="K192" s="194"/>
      <c r="L192" s="17" t="s">
        <v>69</v>
      </c>
      <c r="M192" s="280" t="s">
        <v>4058</v>
      </c>
      <c r="N192" s="239"/>
      <c r="O192" s="210"/>
    </row>
    <row r="193" spans="1:15" s="92" customFormat="1" ht="12" customHeight="1" thickBot="1" x14ac:dyDescent="0.3">
      <c r="A193" s="524" t="s">
        <v>3996</v>
      </c>
      <c r="B193" s="310" t="s">
        <v>2299</v>
      </c>
      <c r="C193" s="521" t="s">
        <v>1851</v>
      </c>
      <c r="D193" s="41">
        <v>44.762</v>
      </c>
      <c r="E193" s="41">
        <v>20.623200000000001</v>
      </c>
      <c r="F193" s="511">
        <f t="shared" si="10"/>
        <v>5390</v>
      </c>
      <c r="G193" s="321">
        <v>5476</v>
      </c>
      <c r="H193" s="517">
        <v>5304</v>
      </c>
      <c r="I193" s="327" t="s">
        <v>787</v>
      </c>
      <c r="J193" s="40" t="s">
        <v>69</v>
      </c>
      <c r="K193" s="194"/>
      <c r="L193" s="17" t="s">
        <v>69</v>
      </c>
      <c r="M193" s="280" t="s">
        <v>4059</v>
      </c>
      <c r="N193" s="239"/>
      <c r="O193" s="210"/>
    </row>
    <row r="194" spans="1:15" s="92" customFormat="1" ht="12" customHeight="1" x14ac:dyDescent="0.25">
      <c r="A194" s="524" t="s">
        <v>3996</v>
      </c>
      <c r="B194" s="310" t="s">
        <v>2299</v>
      </c>
      <c r="C194" s="521" t="s">
        <v>1851</v>
      </c>
      <c r="D194" s="41">
        <v>44.762</v>
      </c>
      <c r="E194" s="41">
        <v>20.623200000000001</v>
      </c>
      <c r="F194" s="511">
        <f t="shared" si="10"/>
        <v>5390</v>
      </c>
      <c r="G194" s="321">
        <v>5476</v>
      </c>
      <c r="H194" s="517">
        <v>5304</v>
      </c>
      <c r="I194" s="326" t="s">
        <v>7</v>
      </c>
      <c r="J194" s="40" t="s">
        <v>69</v>
      </c>
      <c r="K194" s="194"/>
      <c r="L194" s="17" t="s">
        <v>69</v>
      </c>
      <c r="M194" s="280" t="s">
        <v>4060</v>
      </c>
      <c r="N194" s="239"/>
      <c r="O194" s="210"/>
    </row>
    <row r="195" spans="1:15" s="92" customFormat="1" ht="12" customHeight="1" x14ac:dyDescent="0.25">
      <c r="A195" s="524" t="s">
        <v>3996</v>
      </c>
      <c r="B195" s="310" t="s">
        <v>2299</v>
      </c>
      <c r="C195" s="521" t="s">
        <v>1851</v>
      </c>
      <c r="D195" s="41">
        <v>44.762</v>
      </c>
      <c r="E195" s="41">
        <v>20.623200000000001</v>
      </c>
      <c r="F195" s="511">
        <f t="shared" si="10"/>
        <v>5390</v>
      </c>
      <c r="G195" s="321">
        <v>5476</v>
      </c>
      <c r="H195" s="517">
        <v>5304</v>
      </c>
      <c r="I195" s="326" t="s">
        <v>18</v>
      </c>
      <c r="J195" s="40" t="s">
        <v>69</v>
      </c>
      <c r="K195" s="194"/>
      <c r="L195" s="17" t="s">
        <v>69</v>
      </c>
      <c r="M195" s="280" t="s">
        <v>4061</v>
      </c>
      <c r="N195" s="239"/>
      <c r="O195" s="210"/>
    </row>
    <row r="196" spans="1:15" s="92" customFormat="1" ht="12" customHeight="1" thickBot="1" x14ac:dyDescent="0.3">
      <c r="A196" s="524" t="s">
        <v>3996</v>
      </c>
      <c r="B196" s="310" t="s">
        <v>2299</v>
      </c>
      <c r="C196" s="521" t="s">
        <v>1851</v>
      </c>
      <c r="D196" s="41">
        <v>44.762</v>
      </c>
      <c r="E196" s="41">
        <v>20.623200000000001</v>
      </c>
      <c r="F196" s="511">
        <f t="shared" si="10"/>
        <v>5390</v>
      </c>
      <c r="G196" s="321">
        <v>5476</v>
      </c>
      <c r="H196" s="517">
        <v>5304</v>
      </c>
      <c r="I196" s="326" t="s">
        <v>3733</v>
      </c>
      <c r="J196" s="40" t="s">
        <v>69</v>
      </c>
      <c r="K196" s="194"/>
      <c r="L196" s="17" t="s">
        <v>69</v>
      </c>
      <c r="M196" s="280" t="s">
        <v>4062</v>
      </c>
      <c r="N196" s="239"/>
      <c r="O196" s="210"/>
    </row>
    <row r="197" spans="1:15" s="92" customFormat="1" ht="12" customHeight="1" thickBot="1" x14ac:dyDescent="0.3">
      <c r="A197" s="524" t="s">
        <v>3996</v>
      </c>
      <c r="B197" s="310" t="s">
        <v>2299</v>
      </c>
      <c r="C197" s="521" t="s">
        <v>1851</v>
      </c>
      <c r="D197" s="41">
        <v>44.762</v>
      </c>
      <c r="E197" s="41">
        <v>20.623200000000001</v>
      </c>
      <c r="F197" s="511">
        <f t="shared" si="10"/>
        <v>5390</v>
      </c>
      <c r="G197" s="321">
        <v>5476</v>
      </c>
      <c r="H197" s="517">
        <v>5304</v>
      </c>
      <c r="I197" s="327" t="s">
        <v>787</v>
      </c>
      <c r="J197" s="40" t="s">
        <v>69</v>
      </c>
      <c r="K197" s="194"/>
      <c r="L197" s="17" t="s">
        <v>69</v>
      </c>
      <c r="M197" s="280" t="s">
        <v>4063</v>
      </c>
      <c r="N197" s="239"/>
      <c r="O197" s="210"/>
    </row>
    <row r="198" spans="1:15" s="92" customFormat="1" ht="12" customHeight="1" x14ac:dyDescent="0.25">
      <c r="A198" s="804" t="s">
        <v>4229</v>
      </c>
      <c r="B198" s="310" t="s">
        <v>2299</v>
      </c>
      <c r="C198" s="521" t="s">
        <v>1851</v>
      </c>
      <c r="D198" s="41">
        <v>44.762</v>
      </c>
      <c r="E198" s="41">
        <v>20.623200000000001</v>
      </c>
      <c r="F198" s="511">
        <f t="shared" si="10"/>
        <v>5390</v>
      </c>
      <c r="G198" s="321">
        <v>5476</v>
      </c>
      <c r="H198" s="517">
        <v>5304</v>
      </c>
      <c r="I198" s="326" t="s">
        <v>138</v>
      </c>
      <c r="J198" s="40" t="s">
        <v>69</v>
      </c>
      <c r="K198" s="194"/>
      <c r="L198" s="17" t="s">
        <v>69</v>
      </c>
      <c r="M198" s="280" t="s">
        <v>4064</v>
      </c>
      <c r="N198" s="239"/>
      <c r="O198" s="210"/>
    </row>
    <row r="199" spans="1:15" s="92" customFormat="1" ht="12" customHeight="1" x14ac:dyDescent="0.25">
      <c r="A199" s="524" t="s">
        <v>2297</v>
      </c>
      <c r="B199" s="310" t="s">
        <v>2299</v>
      </c>
      <c r="C199" s="521" t="s">
        <v>1851</v>
      </c>
      <c r="D199" s="41">
        <v>44.762</v>
      </c>
      <c r="E199" s="41">
        <v>20.623200000000001</v>
      </c>
      <c r="F199" s="511">
        <f>(G199+H199)/2</f>
        <v>5546.5</v>
      </c>
      <c r="G199" s="321">
        <f>7565-1949</f>
        <v>5616</v>
      </c>
      <c r="H199" s="517">
        <f>7426-1949</f>
        <v>5477</v>
      </c>
      <c r="I199" s="105" t="s">
        <v>2305</v>
      </c>
      <c r="J199" s="315" t="s">
        <v>2308</v>
      </c>
      <c r="K199" s="194" t="s">
        <v>2300</v>
      </c>
      <c r="L199" s="90" t="s">
        <v>14</v>
      </c>
      <c r="M199" s="317" t="s">
        <v>2307</v>
      </c>
      <c r="N199" s="239"/>
      <c r="O199" s="210"/>
    </row>
    <row r="200" spans="1:15" ht="12.6" customHeight="1" x14ac:dyDescent="0.25">
      <c r="A200" s="525" t="s">
        <v>2297</v>
      </c>
      <c r="B200" s="526" t="s">
        <v>2298</v>
      </c>
      <c r="C200" s="521" t="s">
        <v>1851</v>
      </c>
      <c r="D200" s="41">
        <v>44.821800000000003</v>
      </c>
      <c r="E200" s="41">
        <v>20.729900000000001</v>
      </c>
      <c r="F200" s="511">
        <f>(G200+H200)/2</f>
        <v>5583.5</v>
      </c>
      <c r="G200" s="527">
        <f>7589-1949</f>
        <v>5640</v>
      </c>
      <c r="H200" s="523">
        <f>7476-1949</f>
        <v>5527</v>
      </c>
      <c r="I200" s="190" t="s">
        <v>2304</v>
      </c>
      <c r="J200" s="40" t="s">
        <v>69</v>
      </c>
      <c r="K200" s="194" t="s">
        <v>2300</v>
      </c>
      <c r="L200" s="596" t="s">
        <v>2</v>
      </c>
      <c r="M200" s="525" t="s">
        <v>2306</v>
      </c>
      <c r="N200" s="641"/>
      <c r="O200" s="210"/>
    </row>
    <row r="201" spans="1:15" s="45" customFormat="1" x14ac:dyDescent="0.25">
      <c r="A201" s="665" t="s">
        <v>4265</v>
      </c>
      <c r="B201" s="666"/>
      <c r="C201" s="670"/>
      <c r="D201" s="684">
        <f>AVERAGE(D171:D200)</f>
        <v>44.936046974074053</v>
      </c>
      <c r="E201" s="684">
        <f>AVERAGE(E171:E200)</f>
        <v>23.041176766666663</v>
      </c>
      <c r="F201" s="685">
        <f>AVERAGE(F171:F200)</f>
        <v>5500.708333333333</v>
      </c>
      <c r="G201" s="12"/>
      <c r="H201" s="293"/>
      <c r="I201" s="359"/>
      <c r="J201" s="281"/>
      <c r="K201" s="370"/>
      <c r="L201" s="29"/>
      <c r="M201" s="232"/>
      <c r="N201" s="354"/>
      <c r="O201" s="325"/>
    </row>
    <row r="202" spans="1:15" s="45" customFormat="1" x14ac:dyDescent="0.25">
      <c r="A202" s="109" t="s">
        <v>4573</v>
      </c>
      <c r="B202" s="380"/>
      <c r="C202" s="355"/>
      <c r="D202" s="369"/>
      <c r="E202" s="369"/>
      <c r="F202" s="382"/>
      <c r="G202" s="29"/>
      <c r="H202" s="113"/>
      <c r="I202" s="281"/>
      <c r="J202" s="281"/>
      <c r="K202" s="370"/>
      <c r="L202" s="29"/>
      <c r="M202" s="232"/>
      <c r="N202" s="354"/>
      <c r="O202" s="61"/>
    </row>
    <row r="203" spans="1:15" s="45" customFormat="1" x14ac:dyDescent="0.25">
      <c r="A203" s="109" t="s">
        <v>4232</v>
      </c>
      <c r="B203" s="380"/>
      <c r="C203" s="355"/>
      <c r="D203" s="369"/>
      <c r="E203" s="369"/>
      <c r="F203" s="382"/>
      <c r="G203" s="29"/>
      <c r="H203" s="113"/>
      <c r="I203" s="281"/>
      <c r="J203" s="281"/>
      <c r="K203" s="370"/>
      <c r="L203" s="29"/>
      <c r="M203" s="232"/>
      <c r="N203" s="354"/>
      <c r="O203" s="61"/>
    </row>
    <row r="204" spans="1:15" s="45" customFormat="1" x14ac:dyDescent="0.25">
      <c r="A204" s="109"/>
      <c r="B204" s="380"/>
      <c r="C204" s="355"/>
      <c r="D204" s="369"/>
      <c r="E204" s="369"/>
      <c r="F204" s="382"/>
      <c r="G204" s="29"/>
      <c r="H204" s="113"/>
      <c r="I204" s="281"/>
      <c r="J204" s="281"/>
      <c r="K204" s="370"/>
      <c r="L204" s="29"/>
      <c r="M204" s="232"/>
      <c r="N204" s="354"/>
      <c r="O204" s="61"/>
    </row>
    <row r="205" spans="1:15" s="45" customFormat="1" x14ac:dyDescent="0.25">
      <c r="A205" s="665" t="s">
        <v>4264</v>
      </c>
      <c r="B205" s="380"/>
      <c r="C205" s="355"/>
      <c r="D205" s="369"/>
      <c r="E205" s="369"/>
      <c r="F205" s="382"/>
      <c r="G205" s="29"/>
      <c r="H205" s="113"/>
      <c r="I205" s="281"/>
      <c r="J205" s="281"/>
      <c r="K205" s="370"/>
      <c r="L205" s="29"/>
      <c r="M205" s="232"/>
      <c r="N205" s="354"/>
      <c r="O205" s="61"/>
    </row>
    <row r="206" spans="1:15" s="100" customFormat="1" ht="32.450000000000003" customHeight="1" x14ac:dyDescent="0.25">
      <c r="A206" s="507" t="s">
        <v>4291</v>
      </c>
      <c r="B206" s="508" t="s">
        <v>1247</v>
      </c>
      <c r="C206" s="519" t="s">
        <v>0</v>
      </c>
      <c r="D206" s="510" t="s">
        <v>969</v>
      </c>
      <c r="E206" s="510" t="s">
        <v>2323</v>
      </c>
      <c r="F206" s="510" t="s">
        <v>398</v>
      </c>
      <c r="G206" s="511" t="s">
        <v>399</v>
      </c>
      <c r="H206" s="512" t="s">
        <v>400</v>
      </c>
      <c r="I206" s="101" t="s">
        <v>2322</v>
      </c>
      <c r="J206" s="589" t="s">
        <v>3927</v>
      </c>
      <c r="K206" s="590" t="s">
        <v>3250</v>
      </c>
      <c r="L206" s="591" t="s">
        <v>1</v>
      </c>
      <c r="M206" s="590" t="s">
        <v>3486</v>
      </c>
      <c r="N206" s="640" t="s">
        <v>3487</v>
      </c>
      <c r="O206" s="339" t="s">
        <v>2324</v>
      </c>
    </row>
    <row r="207" spans="1:15" s="45" customFormat="1" x14ac:dyDescent="0.25">
      <c r="A207" s="107" t="s">
        <v>3762</v>
      </c>
      <c r="B207" s="237" t="s">
        <v>3765</v>
      </c>
      <c r="C207" s="389" t="s">
        <v>146</v>
      </c>
      <c r="D207" s="528">
        <v>47.498460799999997</v>
      </c>
      <c r="E207" s="528">
        <v>20.497360899999901</v>
      </c>
      <c r="F207" s="90">
        <v>5000</v>
      </c>
      <c r="G207" s="90">
        <v>5500</v>
      </c>
      <c r="H207" s="90">
        <v>4500</v>
      </c>
      <c r="I207" s="188" t="s">
        <v>3766</v>
      </c>
      <c r="J207" s="45" t="s">
        <v>69</v>
      </c>
      <c r="K207" s="108" t="s">
        <v>3764</v>
      </c>
      <c r="L207" s="17" t="s">
        <v>69</v>
      </c>
      <c r="M207" s="325" t="s">
        <v>3763</v>
      </c>
      <c r="N207" s="642"/>
      <c r="O207" s="205" t="s">
        <v>3336</v>
      </c>
    </row>
    <row r="208" spans="1:15" s="45" customFormat="1" x14ac:dyDescent="0.25">
      <c r="A208" s="107" t="s">
        <v>3762</v>
      </c>
      <c r="B208" s="237" t="s">
        <v>3769</v>
      </c>
      <c r="C208" s="389" t="s">
        <v>146</v>
      </c>
      <c r="D208" s="90">
        <v>46.665042900000003</v>
      </c>
      <c r="E208" s="90">
        <v>17.270928399999999</v>
      </c>
      <c r="F208" s="90">
        <v>5000</v>
      </c>
      <c r="G208" s="90">
        <v>5500</v>
      </c>
      <c r="H208" s="90">
        <v>4500</v>
      </c>
      <c r="I208" s="201" t="s">
        <v>3768</v>
      </c>
      <c r="J208" s="45" t="s">
        <v>69</v>
      </c>
      <c r="K208" s="108" t="s">
        <v>3764</v>
      </c>
      <c r="L208" s="17" t="s">
        <v>69</v>
      </c>
      <c r="M208" s="108" t="s">
        <v>3767</v>
      </c>
      <c r="N208" s="329"/>
      <c r="O208" s="205" t="s">
        <v>3336</v>
      </c>
    </row>
    <row r="209" spans="1:15" s="45" customFormat="1" x14ac:dyDescent="0.25">
      <c r="A209" s="107" t="s">
        <v>3762</v>
      </c>
      <c r="B209" s="237" t="s">
        <v>3360</v>
      </c>
      <c r="C209" s="389" t="s">
        <v>146</v>
      </c>
      <c r="D209" s="90">
        <v>47.147889999999997</v>
      </c>
      <c r="E209" s="90">
        <v>20.923926099999999</v>
      </c>
      <c r="F209" s="90">
        <v>5000</v>
      </c>
      <c r="G209" s="90">
        <v>5500</v>
      </c>
      <c r="H209" s="90">
        <v>4500</v>
      </c>
      <c r="I209" s="201" t="s">
        <v>13</v>
      </c>
      <c r="J209" s="45" t="s">
        <v>69</v>
      </c>
      <c r="K209" s="108" t="s">
        <v>3764</v>
      </c>
      <c r="L209" s="17" t="s">
        <v>69</v>
      </c>
      <c r="M209" s="108" t="s">
        <v>3770</v>
      </c>
      <c r="N209" s="329"/>
      <c r="O209" s="205" t="s">
        <v>3336</v>
      </c>
    </row>
    <row r="210" spans="1:15" s="45" customFormat="1" x14ac:dyDescent="0.25">
      <c r="A210" s="107" t="s">
        <v>3762</v>
      </c>
      <c r="B210" s="529" t="s">
        <v>3775</v>
      </c>
      <c r="C210" s="389" t="s">
        <v>146</v>
      </c>
      <c r="D210" s="90">
        <v>46.253319300000001</v>
      </c>
      <c r="E210" s="90">
        <v>20.1287886</v>
      </c>
      <c r="F210" s="90">
        <v>5500</v>
      </c>
      <c r="G210" s="90">
        <v>5600</v>
      </c>
      <c r="H210" s="90">
        <v>5400</v>
      </c>
      <c r="I210" s="188" t="s">
        <v>3777</v>
      </c>
      <c r="J210" s="45" t="s">
        <v>69</v>
      </c>
      <c r="K210" s="597" t="s">
        <v>163</v>
      </c>
      <c r="L210" s="17" t="s">
        <v>69</v>
      </c>
      <c r="M210" s="543" t="s">
        <v>3771</v>
      </c>
      <c r="N210" s="329"/>
      <c r="O210" s="205" t="s">
        <v>3336</v>
      </c>
    </row>
    <row r="211" spans="1:15" s="45" customFormat="1" x14ac:dyDescent="0.25">
      <c r="A211" s="107" t="s">
        <v>3762</v>
      </c>
      <c r="B211" s="529" t="s">
        <v>3774</v>
      </c>
      <c r="C211" s="389" t="s">
        <v>146</v>
      </c>
      <c r="D211" s="90">
        <v>46.863564099999998</v>
      </c>
      <c r="E211" s="90">
        <v>20.552653500000002</v>
      </c>
      <c r="F211" s="90">
        <v>5500</v>
      </c>
      <c r="G211" s="90">
        <v>5600</v>
      </c>
      <c r="H211" s="90">
        <v>5400</v>
      </c>
      <c r="I211" s="188" t="s">
        <v>3777</v>
      </c>
      <c r="J211" s="45" t="s">
        <v>69</v>
      </c>
      <c r="K211" s="597" t="s">
        <v>163</v>
      </c>
      <c r="L211" s="17" t="s">
        <v>69</v>
      </c>
      <c r="M211" s="543" t="s">
        <v>3772</v>
      </c>
      <c r="N211" s="329"/>
      <c r="O211" s="205" t="s">
        <v>3336</v>
      </c>
    </row>
    <row r="212" spans="1:15" s="45" customFormat="1" x14ac:dyDescent="0.25">
      <c r="A212" s="107" t="s">
        <v>3762</v>
      </c>
      <c r="B212" s="529" t="s">
        <v>3776</v>
      </c>
      <c r="C212" s="389" t="s">
        <v>146</v>
      </c>
      <c r="D212" s="90">
        <v>46.7084264</v>
      </c>
      <c r="E212" s="90">
        <v>20.1436060999999</v>
      </c>
      <c r="F212" s="90">
        <v>5000</v>
      </c>
      <c r="G212" s="90">
        <v>5500</v>
      </c>
      <c r="H212" s="90">
        <v>4500</v>
      </c>
      <c r="I212" s="188" t="s">
        <v>3777</v>
      </c>
      <c r="J212" s="45" t="s">
        <v>69</v>
      </c>
      <c r="K212" s="108" t="s">
        <v>3764</v>
      </c>
      <c r="L212" s="17" t="s">
        <v>69</v>
      </c>
      <c r="M212" s="543" t="s">
        <v>3773</v>
      </c>
      <c r="N212" s="329"/>
      <c r="O212" s="205" t="s">
        <v>3336</v>
      </c>
    </row>
    <row r="213" spans="1:15" s="45" customFormat="1" x14ac:dyDescent="0.25">
      <c r="A213" s="107" t="s">
        <v>3762</v>
      </c>
      <c r="B213" s="237" t="s">
        <v>3779</v>
      </c>
      <c r="C213" s="389" t="s">
        <v>146</v>
      </c>
      <c r="D213" s="90">
        <v>46.581644699999998</v>
      </c>
      <c r="E213" s="90">
        <v>20.226641499999999</v>
      </c>
      <c r="F213" s="90">
        <v>5500</v>
      </c>
      <c r="G213" s="90">
        <v>5600</v>
      </c>
      <c r="H213" s="90">
        <v>5400</v>
      </c>
      <c r="I213" s="201" t="s">
        <v>18</v>
      </c>
      <c r="J213" s="45" t="s">
        <v>69</v>
      </c>
      <c r="K213" s="597" t="s">
        <v>163</v>
      </c>
      <c r="L213" s="17" t="s">
        <v>69</v>
      </c>
      <c r="M213" s="366" t="s">
        <v>3778</v>
      </c>
      <c r="N213" s="642"/>
      <c r="O213" s="205" t="s">
        <v>3336</v>
      </c>
    </row>
    <row r="214" spans="1:15" s="45" customFormat="1" x14ac:dyDescent="0.25">
      <c r="A214" s="107" t="s">
        <v>3762</v>
      </c>
      <c r="B214" s="529" t="s">
        <v>3782</v>
      </c>
      <c r="C214" s="389" t="s">
        <v>146</v>
      </c>
      <c r="D214" s="90">
        <v>47.653380200000001</v>
      </c>
      <c r="E214" s="90">
        <v>19.4843422</v>
      </c>
      <c r="F214" s="90">
        <v>5000</v>
      </c>
      <c r="G214" s="90">
        <v>5500</v>
      </c>
      <c r="H214" s="90">
        <v>4500</v>
      </c>
      <c r="I214" s="201" t="s">
        <v>18</v>
      </c>
      <c r="J214" s="45" t="s">
        <v>69</v>
      </c>
      <c r="K214" s="597" t="s">
        <v>3784</v>
      </c>
      <c r="L214" s="17" t="s">
        <v>69</v>
      </c>
      <c r="M214" s="597" t="s">
        <v>3780</v>
      </c>
      <c r="N214" s="329"/>
      <c r="O214" s="205" t="s">
        <v>3336</v>
      </c>
    </row>
    <row r="215" spans="1:15" s="45" customFormat="1" x14ac:dyDescent="0.25">
      <c r="A215" s="107" t="s">
        <v>3762</v>
      </c>
      <c r="B215" s="529" t="s">
        <v>3783</v>
      </c>
      <c r="C215" s="389" t="s">
        <v>146</v>
      </c>
      <c r="D215" s="90">
        <v>47.808669599999902</v>
      </c>
      <c r="E215" s="90">
        <v>21.137180899999901</v>
      </c>
      <c r="F215" s="90">
        <v>5000</v>
      </c>
      <c r="G215" s="90">
        <v>5500</v>
      </c>
      <c r="H215" s="90">
        <v>4500</v>
      </c>
      <c r="I215" s="201" t="s">
        <v>18</v>
      </c>
      <c r="J215" s="45" t="s">
        <v>69</v>
      </c>
      <c r="K215" s="597" t="s">
        <v>3764</v>
      </c>
      <c r="L215" s="17" t="s">
        <v>69</v>
      </c>
      <c r="M215" s="597" t="s">
        <v>3781</v>
      </c>
      <c r="N215" s="329"/>
      <c r="O215" s="205"/>
    </row>
    <row r="216" spans="1:15" s="45" customFormat="1" x14ac:dyDescent="0.25">
      <c r="A216" s="107" t="s">
        <v>3762</v>
      </c>
      <c r="B216" s="237" t="s">
        <v>3786</v>
      </c>
      <c r="C216" s="389" t="s">
        <v>146</v>
      </c>
      <c r="D216" s="90">
        <v>47.816667000000002</v>
      </c>
      <c r="E216" s="90">
        <v>20.583333</v>
      </c>
      <c r="F216" s="90">
        <v>5000</v>
      </c>
      <c r="G216" s="90">
        <v>5500</v>
      </c>
      <c r="H216" s="90">
        <v>4500</v>
      </c>
      <c r="I216" s="201" t="s">
        <v>3787</v>
      </c>
      <c r="J216" s="45" t="s">
        <v>69</v>
      </c>
      <c r="K216" s="108"/>
      <c r="L216" s="17" t="s">
        <v>69</v>
      </c>
      <c r="M216" s="108" t="s">
        <v>3785</v>
      </c>
      <c r="N216" s="329"/>
      <c r="O216" s="205" t="s">
        <v>3336</v>
      </c>
    </row>
    <row r="217" spans="1:15" s="45" customFormat="1" x14ac:dyDescent="0.25">
      <c r="A217" s="107" t="s">
        <v>376</v>
      </c>
      <c r="B217" s="238" t="s">
        <v>580</v>
      </c>
      <c r="C217" s="252" t="s">
        <v>146</v>
      </c>
      <c r="D217" s="41">
        <v>47.93</v>
      </c>
      <c r="E217" s="41">
        <v>21.2</v>
      </c>
      <c r="F217" s="116">
        <f>AVERAGE(G217:H217)</f>
        <v>5715</v>
      </c>
      <c r="G217" s="27">
        <v>5780</v>
      </c>
      <c r="H217" s="112">
        <v>5650</v>
      </c>
      <c r="I217" s="97" t="s">
        <v>184</v>
      </c>
      <c r="J217" s="40" t="s">
        <v>581</v>
      </c>
      <c r="K217" s="194" t="s">
        <v>571</v>
      </c>
      <c r="L217" s="17" t="s">
        <v>14</v>
      </c>
      <c r="M217" s="108" t="s">
        <v>3574</v>
      </c>
      <c r="N217" s="230" t="s">
        <v>582</v>
      </c>
      <c r="O217" s="205" t="s">
        <v>3752</v>
      </c>
    </row>
    <row r="218" spans="1:15" s="45" customFormat="1" ht="15.75" thickBot="1" x14ac:dyDescent="0.3">
      <c r="A218" s="107" t="s">
        <v>386</v>
      </c>
      <c r="B218" s="238" t="s">
        <v>248</v>
      </c>
      <c r="C218" s="252" t="s">
        <v>146</v>
      </c>
      <c r="D218" s="41">
        <v>46.205489999999998</v>
      </c>
      <c r="E218" s="41">
        <v>18.705033</v>
      </c>
      <c r="F218" s="116">
        <v>5580</v>
      </c>
      <c r="G218" s="27">
        <v>5640</v>
      </c>
      <c r="H218" s="112">
        <v>5520</v>
      </c>
      <c r="I218" s="97" t="s">
        <v>7</v>
      </c>
      <c r="J218" s="40" t="s">
        <v>69</v>
      </c>
      <c r="K218" s="194" t="s">
        <v>163</v>
      </c>
      <c r="L218" s="17" t="s">
        <v>2</v>
      </c>
      <c r="M218" s="108" t="s">
        <v>267</v>
      </c>
      <c r="N218" s="239" t="s">
        <v>3450</v>
      </c>
      <c r="O218" s="205" t="s">
        <v>3461</v>
      </c>
    </row>
    <row r="219" spans="1:15" s="45" customFormat="1" ht="15.75" thickBot="1" x14ac:dyDescent="0.3">
      <c r="A219" s="107" t="s">
        <v>386</v>
      </c>
      <c r="B219" s="238" t="s">
        <v>248</v>
      </c>
      <c r="C219" s="252" t="s">
        <v>146</v>
      </c>
      <c r="D219" s="41">
        <v>46.205489999999998</v>
      </c>
      <c r="E219" s="41">
        <v>18.705033</v>
      </c>
      <c r="F219" s="116">
        <v>5735</v>
      </c>
      <c r="G219" s="27">
        <v>5810</v>
      </c>
      <c r="H219" s="112">
        <v>5660</v>
      </c>
      <c r="I219" s="174" t="s">
        <v>43</v>
      </c>
      <c r="J219" s="40" t="s">
        <v>69</v>
      </c>
      <c r="K219" s="194" t="s">
        <v>163</v>
      </c>
      <c r="L219" s="17" t="s">
        <v>2</v>
      </c>
      <c r="M219" s="108" t="s">
        <v>252</v>
      </c>
      <c r="N219" s="230" t="s">
        <v>3451</v>
      </c>
      <c r="O219" s="205" t="s">
        <v>3436</v>
      </c>
    </row>
    <row r="220" spans="1:15" s="45" customFormat="1" x14ac:dyDescent="0.25">
      <c r="A220" s="107" t="s">
        <v>386</v>
      </c>
      <c r="B220" s="238" t="s">
        <v>248</v>
      </c>
      <c r="C220" s="252" t="s">
        <v>146</v>
      </c>
      <c r="D220" s="41">
        <v>46.205489999999998</v>
      </c>
      <c r="E220" s="41">
        <v>18.705033</v>
      </c>
      <c r="F220" s="242">
        <v>5600</v>
      </c>
      <c r="G220" s="241">
        <v>5650</v>
      </c>
      <c r="H220" s="241">
        <v>5550</v>
      </c>
      <c r="I220" s="97" t="s">
        <v>87</v>
      </c>
      <c r="J220" s="40" t="s">
        <v>69</v>
      </c>
      <c r="K220" s="194" t="s">
        <v>163</v>
      </c>
      <c r="L220" s="17" t="s">
        <v>14</v>
      </c>
      <c r="M220" s="108" t="s">
        <v>277</v>
      </c>
      <c r="N220" s="230" t="s">
        <v>3452</v>
      </c>
      <c r="O220" s="205" t="s">
        <v>3464</v>
      </c>
    </row>
    <row r="221" spans="1:15" s="2" customFormat="1" x14ac:dyDescent="0.25">
      <c r="A221" s="107" t="s">
        <v>386</v>
      </c>
      <c r="B221" s="238" t="s">
        <v>248</v>
      </c>
      <c r="C221" s="252" t="s">
        <v>146</v>
      </c>
      <c r="D221" s="41">
        <v>46.205489999999998</v>
      </c>
      <c r="E221" s="41">
        <v>18.705033</v>
      </c>
      <c r="F221" s="116">
        <v>5545</v>
      </c>
      <c r="G221" s="27">
        <v>5620</v>
      </c>
      <c r="H221" s="112">
        <v>5470</v>
      </c>
      <c r="I221" s="97" t="s">
        <v>58</v>
      </c>
      <c r="J221" s="40" t="s">
        <v>69</v>
      </c>
      <c r="K221" s="194" t="s">
        <v>163</v>
      </c>
      <c r="L221" s="17" t="s">
        <v>69</v>
      </c>
      <c r="M221" s="108" t="s">
        <v>272</v>
      </c>
      <c r="N221" s="230" t="s">
        <v>3453</v>
      </c>
      <c r="O221" s="205" t="s">
        <v>3454</v>
      </c>
    </row>
    <row r="222" spans="1:15" s="45" customFormat="1" ht="15.75" thickBot="1" x14ac:dyDescent="0.3">
      <c r="A222" s="107" t="s">
        <v>386</v>
      </c>
      <c r="B222" s="238" t="s">
        <v>248</v>
      </c>
      <c r="C222" s="252" t="s">
        <v>146</v>
      </c>
      <c r="D222" s="41">
        <v>46.205489999999998</v>
      </c>
      <c r="E222" s="41">
        <v>18.705033</v>
      </c>
      <c r="F222" s="116">
        <v>5585</v>
      </c>
      <c r="G222" s="27">
        <v>5650</v>
      </c>
      <c r="H222" s="112">
        <v>5520</v>
      </c>
      <c r="I222" s="97" t="s">
        <v>10</v>
      </c>
      <c r="J222" s="40" t="s">
        <v>69</v>
      </c>
      <c r="K222" s="194" t="s">
        <v>163</v>
      </c>
      <c r="L222" s="17" t="s">
        <v>69</v>
      </c>
      <c r="M222" s="108" t="s">
        <v>276</v>
      </c>
      <c r="N222" s="230" t="s">
        <v>3455</v>
      </c>
      <c r="O222" s="205" t="s">
        <v>3456</v>
      </c>
    </row>
    <row r="223" spans="1:15" s="45" customFormat="1" ht="15.75" thickBot="1" x14ac:dyDescent="0.3">
      <c r="A223" s="107" t="s">
        <v>386</v>
      </c>
      <c r="B223" s="238" t="s">
        <v>248</v>
      </c>
      <c r="C223" s="252" t="s">
        <v>146</v>
      </c>
      <c r="D223" s="41">
        <v>46.205489999999998</v>
      </c>
      <c r="E223" s="41">
        <v>18.705033</v>
      </c>
      <c r="F223" s="242">
        <v>5600</v>
      </c>
      <c r="G223" s="241">
        <v>5650</v>
      </c>
      <c r="H223" s="241">
        <v>5550</v>
      </c>
      <c r="I223" s="174" t="s">
        <v>83</v>
      </c>
      <c r="J223" s="40" t="s">
        <v>69</v>
      </c>
      <c r="K223" s="194" t="s">
        <v>163</v>
      </c>
      <c r="L223" s="17" t="s">
        <v>69</v>
      </c>
      <c r="M223" s="108" t="s">
        <v>256</v>
      </c>
      <c r="N223" s="230" t="s">
        <v>3457</v>
      </c>
      <c r="O223" s="205" t="s">
        <v>3465</v>
      </c>
    </row>
    <row r="224" spans="1:15" s="45" customFormat="1" ht="15.75" thickBot="1" x14ac:dyDescent="0.3">
      <c r="A224" s="107" t="s">
        <v>386</v>
      </c>
      <c r="B224" s="238" t="s">
        <v>248</v>
      </c>
      <c r="C224" s="252" t="s">
        <v>146</v>
      </c>
      <c r="D224" s="41">
        <v>46.205489999999998</v>
      </c>
      <c r="E224" s="41">
        <v>18.705033</v>
      </c>
      <c r="F224" s="116">
        <v>5585</v>
      </c>
      <c r="G224" s="27">
        <v>5640</v>
      </c>
      <c r="H224" s="112">
        <v>5530</v>
      </c>
      <c r="I224" s="97" t="s">
        <v>109</v>
      </c>
      <c r="J224" s="40" t="s">
        <v>69</v>
      </c>
      <c r="K224" s="194" t="s">
        <v>163</v>
      </c>
      <c r="L224" s="17" t="s">
        <v>2</v>
      </c>
      <c r="M224" s="108" t="s">
        <v>266</v>
      </c>
      <c r="N224" s="230" t="s">
        <v>3458</v>
      </c>
      <c r="O224" s="205" t="s">
        <v>3459</v>
      </c>
    </row>
    <row r="225" spans="1:15" s="45" customFormat="1" ht="15.75" thickBot="1" x14ac:dyDescent="0.3">
      <c r="A225" s="107" t="s">
        <v>386</v>
      </c>
      <c r="B225" s="238" t="s">
        <v>248</v>
      </c>
      <c r="C225" s="252" t="s">
        <v>146</v>
      </c>
      <c r="D225" s="41">
        <v>46.205489999999998</v>
      </c>
      <c r="E225" s="41">
        <v>18.705033</v>
      </c>
      <c r="F225" s="242">
        <v>5600</v>
      </c>
      <c r="G225" s="241">
        <v>5650</v>
      </c>
      <c r="H225" s="241">
        <v>5550</v>
      </c>
      <c r="I225" s="174" t="s">
        <v>6</v>
      </c>
      <c r="J225" s="40" t="s">
        <v>69</v>
      </c>
      <c r="K225" s="194" t="s">
        <v>163</v>
      </c>
      <c r="L225" s="17" t="s">
        <v>14</v>
      </c>
      <c r="M225" s="108" t="s">
        <v>259</v>
      </c>
      <c r="N225" s="230" t="s">
        <v>3460</v>
      </c>
      <c r="O225" s="205" t="s">
        <v>3466</v>
      </c>
    </row>
    <row r="226" spans="1:15" s="45" customFormat="1" x14ac:dyDescent="0.25">
      <c r="A226" s="107" t="s">
        <v>386</v>
      </c>
      <c r="B226" s="238" t="s">
        <v>248</v>
      </c>
      <c r="C226" s="252" t="s">
        <v>146</v>
      </c>
      <c r="D226" s="41">
        <v>46.205489999999998</v>
      </c>
      <c r="E226" s="41">
        <v>18.705033</v>
      </c>
      <c r="F226" s="242">
        <v>5600</v>
      </c>
      <c r="G226" s="241">
        <v>5650</v>
      </c>
      <c r="H226" s="241">
        <v>5550</v>
      </c>
      <c r="I226" s="126" t="s">
        <v>18</v>
      </c>
      <c r="J226" s="40" t="s">
        <v>69</v>
      </c>
      <c r="K226" s="194" t="s">
        <v>163</v>
      </c>
      <c r="L226" s="17" t="s">
        <v>2</v>
      </c>
      <c r="M226" s="108" t="s">
        <v>3462</v>
      </c>
      <c r="N226" s="230" t="s">
        <v>3463</v>
      </c>
      <c r="O226" s="205" t="s">
        <v>3126</v>
      </c>
    </row>
    <row r="227" spans="1:15" s="45" customFormat="1" x14ac:dyDescent="0.25">
      <c r="A227" s="107" t="s">
        <v>386</v>
      </c>
      <c r="B227" s="238" t="s">
        <v>248</v>
      </c>
      <c r="C227" s="252" t="s">
        <v>146</v>
      </c>
      <c r="D227" s="41">
        <v>46.205489999999998</v>
      </c>
      <c r="E227" s="41">
        <v>18.705033</v>
      </c>
      <c r="F227" s="242">
        <v>5600</v>
      </c>
      <c r="G227" s="241">
        <v>5650</v>
      </c>
      <c r="H227" s="241">
        <v>5550</v>
      </c>
      <c r="I227" s="97" t="s">
        <v>273</v>
      </c>
      <c r="J227" s="40" t="s">
        <v>69</v>
      </c>
      <c r="K227" s="194" t="s">
        <v>163</v>
      </c>
      <c r="L227" s="17" t="s">
        <v>69</v>
      </c>
      <c r="M227" s="108" t="s">
        <v>274</v>
      </c>
      <c r="N227" s="230" t="s">
        <v>3467</v>
      </c>
      <c r="O227" s="205" t="s">
        <v>3126</v>
      </c>
    </row>
    <row r="228" spans="1:15" s="45" customFormat="1" x14ac:dyDescent="0.25">
      <c r="A228" s="107" t="s">
        <v>386</v>
      </c>
      <c r="B228" s="238" t="s">
        <v>248</v>
      </c>
      <c r="C228" s="252" t="s">
        <v>146</v>
      </c>
      <c r="D228" s="41">
        <v>46.205489999999998</v>
      </c>
      <c r="E228" s="41">
        <v>18.705033</v>
      </c>
      <c r="F228" s="116">
        <v>5630</v>
      </c>
      <c r="G228" s="27">
        <v>5710</v>
      </c>
      <c r="H228" s="112">
        <v>5550</v>
      </c>
      <c r="I228" s="97" t="s">
        <v>142</v>
      </c>
      <c r="J228" s="2" t="s">
        <v>651</v>
      </c>
      <c r="K228" s="194" t="s">
        <v>163</v>
      </c>
      <c r="L228" s="17" t="s">
        <v>14</v>
      </c>
      <c r="M228" s="108" t="s">
        <v>278</v>
      </c>
      <c r="N228" s="230" t="s">
        <v>3470</v>
      </c>
      <c r="O228" s="205" t="s">
        <v>3719</v>
      </c>
    </row>
    <row r="229" spans="1:15" s="45" customFormat="1" x14ac:dyDescent="0.25">
      <c r="A229" s="107" t="s">
        <v>386</v>
      </c>
      <c r="B229" s="238" t="s">
        <v>248</v>
      </c>
      <c r="C229" s="252" t="s">
        <v>146</v>
      </c>
      <c r="D229" s="41">
        <v>46.205489999999998</v>
      </c>
      <c r="E229" s="41">
        <v>18.705033</v>
      </c>
      <c r="F229" s="116">
        <v>5685</v>
      </c>
      <c r="G229" s="27">
        <v>5740</v>
      </c>
      <c r="H229" s="112">
        <v>5630</v>
      </c>
      <c r="I229" s="97" t="s">
        <v>38</v>
      </c>
      <c r="J229" s="40" t="s">
        <v>69</v>
      </c>
      <c r="K229" s="194" t="s">
        <v>163</v>
      </c>
      <c r="L229" s="17" t="s">
        <v>2</v>
      </c>
      <c r="M229" s="108" t="s">
        <v>251</v>
      </c>
      <c r="N229" s="230" t="s">
        <v>3471</v>
      </c>
      <c r="O229" s="205"/>
    </row>
    <row r="230" spans="1:15" s="45" customFormat="1" ht="15.75" thickBot="1" x14ac:dyDescent="0.3">
      <c r="A230" s="107" t="s">
        <v>386</v>
      </c>
      <c r="B230" s="238" t="s">
        <v>248</v>
      </c>
      <c r="C230" s="252" t="s">
        <v>146</v>
      </c>
      <c r="D230" s="41">
        <v>46.205489999999998</v>
      </c>
      <c r="E230" s="41">
        <v>18.705033</v>
      </c>
      <c r="F230" s="242">
        <v>5600</v>
      </c>
      <c r="G230" s="241">
        <v>5650</v>
      </c>
      <c r="H230" s="241">
        <v>5550</v>
      </c>
      <c r="I230" s="97" t="s">
        <v>11</v>
      </c>
      <c r="J230" s="40" t="s">
        <v>69</v>
      </c>
      <c r="K230" s="194" t="s">
        <v>163</v>
      </c>
      <c r="L230" s="17" t="s">
        <v>2</v>
      </c>
      <c r="M230" s="108" t="s">
        <v>279</v>
      </c>
      <c r="N230" s="230" t="s">
        <v>3472</v>
      </c>
      <c r="O230" s="205" t="s">
        <v>3126</v>
      </c>
    </row>
    <row r="231" spans="1:15" s="45" customFormat="1" ht="15.75" thickBot="1" x14ac:dyDescent="0.3">
      <c r="A231" s="107" t="s">
        <v>386</v>
      </c>
      <c r="B231" s="238" t="s">
        <v>248</v>
      </c>
      <c r="C231" s="252" t="s">
        <v>146</v>
      </c>
      <c r="D231" s="41">
        <v>46.205489999999998</v>
      </c>
      <c r="E231" s="41">
        <v>18.705033</v>
      </c>
      <c r="F231" s="242">
        <v>5600</v>
      </c>
      <c r="G231" s="241">
        <v>5650</v>
      </c>
      <c r="H231" s="241">
        <v>5550</v>
      </c>
      <c r="I231" s="174" t="s">
        <v>43</v>
      </c>
      <c r="J231" s="40" t="s">
        <v>69</v>
      </c>
      <c r="K231" s="194" t="s">
        <v>163</v>
      </c>
      <c r="L231" s="17" t="s">
        <v>14</v>
      </c>
      <c r="M231" s="108" t="s">
        <v>253</v>
      </c>
      <c r="N231" s="230" t="s">
        <v>3473</v>
      </c>
      <c r="O231" s="205" t="s">
        <v>3126</v>
      </c>
    </row>
    <row r="232" spans="1:15" s="45" customFormat="1" ht="15.75" thickBot="1" x14ac:dyDescent="0.3">
      <c r="A232" s="107" t="s">
        <v>386</v>
      </c>
      <c r="B232" s="238" t="s">
        <v>248</v>
      </c>
      <c r="C232" s="252" t="s">
        <v>146</v>
      </c>
      <c r="D232" s="41">
        <v>46.205489999999998</v>
      </c>
      <c r="E232" s="41">
        <v>18.705033</v>
      </c>
      <c r="F232" s="242">
        <v>5600</v>
      </c>
      <c r="G232" s="241">
        <v>5650</v>
      </c>
      <c r="H232" s="241">
        <v>5550</v>
      </c>
      <c r="I232" s="97" t="s">
        <v>34</v>
      </c>
      <c r="J232" s="40" t="s">
        <v>69</v>
      </c>
      <c r="K232" s="194" t="s">
        <v>163</v>
      </c>
      <c r="L232" s="17" t="s">
        <v>2</v>
      </c>
      <c r="M232" s="108" t="s">
        <v>250</v>
      </c>
      <c r="N232" s="230" t="s">
        <v>3474</v>
      </c>
      <c r="O232" s="205" t="s">
        <v>3126</v>
      </c>
    </row>
    <row r="233" spans="1:15" s="45" customFormat="1" ht="15.75" thickBot="1" x14ac:dyDescent="0.3">
      <c r="A233" s="107" t="s">
        <v>386</v>
      </c>
      <c r="B233" s="238" t="s">
        <v>248</v>
      </c>
      <c r="C233" s="252" t="s">
        <v>146</v>
      </c>
      <c r="D233" s="41">
        <v>46.205489999999998</v>
      </c>
      <c r="E233" s="41">
        <v>18.705033</v>
      </c>
      <c r="F233" s="242">
        <v>5600</v>
      </c>
      <c r="G233" s="241">
        <v>5650</v>
      </c>
      <c r="H233" s="241">
        <v>5550</v>
      </c>
      <c r="I233" s="174" t="s">
        <v>6</v>
      </c>
      <c r="J233" s="40" t="s">
        <v>69</v>
      </c>
      <c r="K233" s="194" t="s">
        <v>163</v>
      </c>
      <c r="L233" s="17" t="s">
        <v>69</v>
      </c>
      <c r="M233" s="108" t="s">
        <v>260</v>
      </c>
      <c r="N233" s="230" t="s">
        <v>3475</v>
      </c>
      <c r="O233" s="205" t="s">
        <v>3126</v>
      </c>
    </row>
    <row r="234" spans="1:15" s="45" customFormat="1" x14ac:dyDescent="0.25">
      <c r="A234" s="107" t="s">
        <v>386</v>
      </c>
      <c r="B234" s="238" t="s">
        <v>248</v>
      </c>
      <c r="C234" s="252" t="s">
        <v>146</v>
      </c>
      <c r="D234" s="41">
        <v>46.205489999999998</v>
      </c>
      <c r="E234" s="41">
        <v>18.705033</v>
      </c>
      <c r="F234" s="242">
        <v>5600</v>
      </c>
      <c r="G234" s="241">
        <v>5650</v>
      </c>
      <c r="H234" s="241">
        <v>5550</v>
      </c>
      <c r="I234" s="97" t="s">
        <v>7</v>
      </c>
      <c r="J234" s="40" t="s">
        <v>69</v>
      </c>
      <c r="K234" s="194" t="s">
        <v>163</v>
      </c>
      <c r="L234" s="17" t="s">
        <v>2</v>
      </c>
      <c r="M234" s="108" t="s">
        <v>268</v>
      </c>
      <c r="N234" s="230" t="s">
        <v>3476</v>
      </c>
      <c r="O234" s="205" t="s">
        <v>3126</v>
      </c>
    </row>
    <row r="235" spans="1:15" s="45" customFormat="1" x14ac:dyDescent="0.25">
      <c r="A235" s="107" t="s">
        <v>386</v>
      </c>
      <c r="B235" s="238" t="s">
        <v>248</v>
      </c>
      <c r="C235" s="252" t="s">
        <v>146</v>
      </c>
      <c r="D235" s="41">
        <v>46.205489999999998</v>
      </c>
      <c r="E235" s="41">
        <v>18.705033</v>
      </c>
      <c r="F235" s="116">
        <v>5610</v>
      </c>
      <c r="G235" s="27">
        <v>5680</v>
      </c>
      <c r="H235" s="112">
        <v>5540</v>
      </c>
      <c r="I235" s="97" t="s">
        <v>7</v>
      </c>
      <c r="J235" s="40" t="s">
        <v>69</v>
      </c>
      <c r="K235" s="194" t="s">
        <v>163</v>
      </c>
      <c r="L235" s="17" t="s">
        <v>14</v>
      </c>
      <c r="M235" s="108" t="s">
        <v>269</v>
      </c>
      <c r="N235" s="230" t="s">
        <v>3477</v>
      </c>
      <c r="O235" s="205"/>
    </row>
    <row r="236" spans="1:15" s="45" customFormat="1" x14ac:dyDescent="0.25">
      <c r="A236" s="107" t="s">
        <v>386</v>
      </c>
      <c r="B236" s="238" t="s">
        <v>248</v>
      </c>
      <c r="C236" s="252" t="s">
        <v>146</v>
      </c>
      <c r="D236" s="41">
        <v>46.205489999999998</v>
      </c>
      <c r="E236" s="41">
        <v>18.705033</v>
      </c>
      <c r="F236" s="116">
        <v>5630</v>
      </c>
      <c r="G236" s="27">
        <v>5710</v>
      </c>
      <c r="H236" s="112">
        <v>5550</v>
      </c>
      <c r="I236" s="97" t="s">
        <v>78</v>
      </c>
      <c r="J236" s="40" t="s">
        <v>69</v>
      </c>
      <c r="K236" s="194" t="s">
        <v>163</v>
      </c>
      <c r="L236" s="17" t="s">
        <v>2</v>
      </c>
      <c r="M236" s="108" t="s">
        <v>262</v>
      </c>
      <c r="N236" s="239" t="s">
        <v>3469</v>
      </c>
      <c r="O236" s="205" t="s">
        <v>3484</v>
      </c>
    </row>
    <row r="237" spans="1:15" s="45" customFormat="1" ht="15.75" thickBot="1" x14ac:dyDescent="0.3">
      <c r="A237" s="107" t="s">
        <v>386</v>
      </c>
      <c r="B237" s="238" t="s">
        <v>248</v>
      </c>
      <c r="C237" s="252" t="s">
        <v>146</v>
      </c>
      <c r="D237" s="41">
        <v>46.205489999999998</v>
      </c>
      <c r="E237" s="41">
        <v>18.705033</v>
      </c>
      <c r="F237" s="116">
        <v>5560</v>
      </c>
      <c r="G237" s="27">
        <v>5630</v>
      </c>
      <c r="H237" s="112">
        <v>5490</v>
      </c>
      <c r="I237" s="97" t="s">
        <v>11</v>
      </c>
      <c r="J237" s="40" t="s">
        <v>69</v>
      </c>
      <c r="K237" s="194" t="s">
        <v>163</v>
      </c>
      <c r="L237" s="17" t="s">
        <v>2</v>
      </c>
      <c r="M237" s="108" t="s">
        <v>280</v>
      </c>
      <c r="N237" s="239" t="s">
        <v>3478</v>
      </c>
      <c r="O237" s="205"/>
    </row>
    <row r="238" spans="1:15" s="45" customFormat="1" ht="15.75" thickBot="1" x14ac:dyDescent="0.3">
      <c r="A238" s="107" t="s">
        <v>386</v>
      </c>
      <c r="B238" s="238" t="s">
        <v>248</v>
      </c>
      <c r="C238" s="252" t="s">
        <v>146</v>
      </c>
      <c r="D238" s="41">
        <v>46.205489999999998</v>
      </c>
      <c r="E238" s="41">
        <v>18.705033</v>
      </c>
      <c r="F238" s="242">
        <v>5600</v>
      </c>
      <c r="G238" s="241">
        <v>5650</v>
      </c>
      <c r="H238" s="241">
        <v>5550</v>
      </c>
      <c r="I238" s="174" t="s">
        <v>83</v>
      </c>
      <c r="J238" s="40" t="s">
        <v>69</v>
      </c>
      <c r="K238" s="194" t="s">
        <v>163</v>
      </c>
      <c r="L238" s="17" t="s">
        <v>2</v>
      </c>
      <c r="M238" s="108" t="s">
        <v>257</v>
      </c>
      <c r="N238" s="239" t="s">
        <v>3479</v>
      </c>
      <c r="O238" s="205" t="s">
        <v>3126</v>
      </c>
    </row>
    <row r="239" spans="1:15" s="45" customFormat="1" x14ac:dyDescent="0.25">
      <c r="A239" s="107" t="s">
        <v>379</v>
      </c>
      <c r="B239" s="238" t="s">
        <v>263</v>
      </c>
      <c r="C239" s="252" t="s">
        <v>146</v>
      </c>
      <c r="D239" s="41">
        <v>46.205489999999998</v>
      </c>
      <c r="E239" s="41">
        <v>18.705033</v>
      </c>
      <c r="F239" s="116">
        <v>5630</v>
      </c>
      <c r="G239" s="27">
        <v>5702</v>
      </c>
      <c r="H239" s="112">
        <v>5536</v>
      </c>
      <c r="I239" s="97" t="s">
        <v>128</v>
      </c>
      <c r="J239" s="40" t="s">
        <v>264</v>
      </c>
      <c r="K239" s="194" t="s">
        <v>163</v>
      </c>
      <c r="L239" s="17" t="s">
        <v>14</v>
      </c>
      <c r="M239" s="108" t="s">
        <v>265</v>
      </c>
      <c r="N239" s="230" t="s">
        <v>3435</v>
      </c>
      <c r="O239" s="205" t="s">
        <v>3655</v>
      </c>
    </row>
    <row r="240" spans="1:15" s="45" customFormat="1" x14ac:dyDescent="0.25">
      <c r="A240" s="107" t="s">
        <v>379</v>
      </c>
      <c r="B240" s="238" t="s">
        <v>263</v>
      </c>
      <c r="C240" s="252" t="s">
        <v>146</v>
      </c>
      <c r="D240" s="41">
        <v>46.205489999999998</v>
      </c>
      <c r="E240" s="41">
        <v>18.705033</v>
      </c>
      <c r="F240" s="116">
        <v>5630</v>
      </c>
      <c r="G240" s="27">
        <v>5710</v>
      </c>
      <c r="H240" s="112">
        <v>5550</v>
      </c>
      <c r="I240" s="97" t="s">
        <v>128</v>
      </c>
      <c r="J240" s="40" t="s">
        <v>69</v>
      </c>
      <c r="K240" s="194" t="s">
        <v>807</v>
      </c>
      <c r="L240" s="17" t="s">
        <v>69</v>
      </c>
      <c r="M240" s="108" t="s">
        <v>802</v>
      </c>
      <c r="N240" s="230" t="s">
        <v>3654</v>
      </c>
      <c r="O240" s="205" t="s">
        <v>801</v>
      </c>
    </row>
    <row r="241" spans="1:15" s="45" customFormat="1" x14ac:dyDescent="0.25">
      <c r="A241" s="107" t="s">
        <v>386</v>
      </c>
      <c r="B241" s="238" t="s">
        <v>248</v>
      </c>
      <c r="C241" s="252" t="s">
        <v>146</v>
      </c>
      <c r="D241" s="41">
        <v>46.205489999999998</v>
      </c>
      <c r="E241" s="41">
        <v>18.705033</v>
      </c>
      <c r="F241" s="116">
        <v>5750</v>
      </c>
      <c r="G241" s="27">
        <v>5840</v>
      </c>
      <c r="H241" s="112">
        <v>5660</v>
      </c>
      <c r="I241" s="97" t="s">
        <v>7</v>
      </c>
      <c r="J241" s="40" t="s">
        <v>69</v>
      </c>
      <c r="K241" s="194" t="s">
        <v>163</v>
      </c>
      <c r="L241" s="17" t="s">
        <v>14</v>
      </c>
      <c r="M241" s="108" t="s">
        <v>270</v>
      </c>
      <c r="N241" s="239" t="s">
        <v>3468</v>
      </c>
      <c r="O241" s="231"/>
    </row>
    <row r="242" spans="1:15" s="45" customFormat="1" ht="15.75" thickBot="1" x14ac:dyDescent="0.3">
      <c r="A242" s="107" t="s">
        <v>386</v>
      </c>
      <c r="B242" s="238" t="s">
        <v>254</v>
      </c>
      <c r="C242" s="252" t="s">
        <v>146</v>
      </c>
      <c r="D242" s="41">
        <v>45.996037000000001</v>
      </c>
      <c r="E242" s="41">
        <v>18.581007</v>
      </c>
      <c r="F242" s="242">
        <v>5600</v>
      </c>
      <c r="G242" s="241">
        <v>5650</v>
      </c>
      <c r="H242" s="241">
        <v>5550</v>
      </c>
      <c r="I242" s="97" t="s">
        <v>162</v>
      </c>
      <c r="J242" s="40" t="s">
        <v>69</v>
      </c>
      <c r="K242" s="194" t="s">
        <v>163</v>
      </c>
      <c r="L242" s="17" t="s">
        <v>69</v>
      </c>
      <c r="M242" s="108" t="s">
        <v>275</v>
      </c>
      <c r="N242" s="230"/>
      <c r="O242" s="205" t="s">
        <v>3126</v>
      </c>
    </row>
    <row r="243" spans="1:15" s="45" customFormat="1" ht="15.75" thickBot="1" x14ac:dyDescent="0.3">
      <c r="A243" s="107" t="s">
        <v>386</v>
      </c>
      <c r="B243" s="238" t="s">
        <v>254</v>
      </c>
      <c r="C243" s="252" t="s">
        <v>146</v>
      </c>
      <c r="D243" s="41">
        <v>45.996037000000001</v>
      </c>
      <c r="E243" s="41">
        <v>18.581007</v>
      </c>
      <c r="F243" s="242">
        <v>5600</v>
      </c>
      <c r="G243" s="241">
        <v>5650</v>
      </c>
      <c r="H243" s="241">
        <v>5550</v>
      </c>
      <c r="I243" s="174" t="s">
        <v>43</v>
      </c>
      <c r="J243" s="40" t="s">
        <v>69</v>
      </c>
      <c r="K243" s="194" t="s">
        <v>163</v>
      </c>
      <c r="L243" s="17" t="s">
        <v>2</v>
      </c>
      <c r="M243" s="108" t="s">
        <v>255</v>
      </c>
      <c r="N243" s="230"/>
      <c r="O243" s="205" t="s">
        <v>3126</v>
      </c>
    </row>
    <row r="244" spans="1:15" s="45" customFormat="1" x14ac:dyDescent="0.25">
      <c r="A244" s="107" t="s">
        <v>386</v>
      </c>
      <c r="B244" s="238" t="s">
        <v>254</v>
      </c>
      <c r="C244" s="252" t="s">
        <v>146</v>
      </c>
      <c r="D244" s="41">
        <v>45.996037000000001</v>
      </c>
      <c r="E244" s="41">
        <v>18.581007</v>
      </c>
      <c r="F244" s="116">
        <v>5620</v>
      </c>
      <c r="G244" s="27">
        <v>5680</v>
      </c>
      <c r="H244" s="112">
        <v>5560</v>
      </c>
      <c r="I244" s="97" t="s">
        <v>56</v>
      </c>
      <c r="J244" s="40" t="s">
        <v>69</v>
      </c>
      <c r="K244" s="194" t="s">
        <v>163</v>
      </c>
      <c r="L244" s="17" t="s">
        <v>2</v>
      </c>
      <c r="M244" s="108" t="s">
        <v>271</v>
      </c>
      <c r="N244" s="230"/>
      <c r="O244" s="205"/>
    </row>
    <row r="245" spans="1:15" s="45" customFormat="1" x14ac:dyDescent="0.25">
      <c r="A245" s="107" t="s">
        <v>386</v>
      </c>
      <c r="B245" s="238" t="s">
        <v>249</v>
      </c>
      <c r="C245" s="252" t="s">
        <v>146</v>
      </c>
      <c r="D245" s="41">
        <v>45.992989999999999</v>
      </c>
      <c r="E245" s="41">
        <v>18.581264999999998</v>
      </c>
      <c r="F245" s="116">
        <v>5700</v>
      </c>
      <c r="G245" s="27">
        <v>5800</v>
      </c>
      <c r="H245" s="112">
        <v>5400</v>
      </c>
      <c r="I245" s="97" t="s">
        <v>102</v>
      </c>
      <c r="J245" s="40" t="s">
        <v>69</v>
      </c>
      <c r="K245" s="194" t="s">
        <v>163</v>
      </c>
      <c r="L245" s="17" t="s">
        <v>2</v>
      </c>
      <c r="M245" s="108" t="s">
        <v>261</v>
      </c>
      <c r="N245" s="230" t="s">
        <v>3481</v>
      </c>
      <c r="O245" s="205" t="s">
        <v>3485</v>
      </c>
    </row>
    <row r="246" spans="1:15" s="45" customFormat="1" ht="15.75" thickBot="1" x14ac:dyDescent="0.3">
      <c r="A246" s="107" t="s">
        <v>386</v>
      </c>
      <c r="B246" s="238" t="s">
        <v>249</v>
      </c>
      <c r="C246" s="252" t="s">
        <v>146</v>
      </c>
      <c r="D246" s="41">
        <v>45.992989999999999</v>
      </c>
      <c r="E246" s="41">
        <v>18.581264999999998</v>
      </c>
      <c r="F246" s="242">
        <v>5600</v>
      </c>
      <c r="G246" s="241">
        <v>5650</v>
      </c>
      <c r="H246" s="241">
        <v>5550</v>
      </c>
      <c r="I246" s="243" t="s">
        <v>82</v>
      </c>
      <c r="J246" s="40" t="s">
        <v>69</v>
      </c>
      <c r="K246" s="194" t="s">
        <v>163</v>
      </c>
      <c r="L246" s="17" t="s">
        <v>69</v>
      </c>
      <c r="M246" s="108" t="s">
        <v>3480</v>
      </c>
      <c r="N246" s="230" t="s">
        <v>3482</v>
      </c>
      <c r="O246" s="205" t="s">
        <v>3126</v>
      </c>
    </row>
    <row r="247" spans="1:15" s="45" customFormat="1" ht="15.75" thickBot="1" x14ac:dyDescent="0.3">
      <c r="A247" s="107" t="s">
        <v>386</v>
      </c>
      <c r="B247" s="238" t="s">
        <v>249</v>
      </c>
      <c r="C247" s="252" t="s">
        <v>146</v>
      </c>
      <c r="D247" s="41">
        <v>45.992989999999999</v>
      </c>
      <c r="E247" s="41">
        <v>18.581264999999998</v>
      </c>
      <c r="F247" s="242">
        <v>5600</v>
      </c>
      <c r="G247" s="241">
        <v>5650</v>
      </c>
      <c r="H247" s="241">
        <v>5550</v>
      </c>
      <c r="I247" s="174" t="s">
        <v>6</v>
      </c>
      <c r="J247" s="40" t="s">
        <v>69</v>
      </c>
      <c r="K247" s="194" t="s">
        <v>163</v>
      </c>
      <c r="L247" s="17" t="s">
        <v>14</v>
      </c>
      <c r="M247" s="108" t="s">
        <v>258</v>
      </c>
      <c r="N247" s="230" t="s">
        <v>3483</v>
      </c>
      <c r="O247" s="205" t="s">
        <v>3126</v>
      </c>
    </row>
    <row r="248" spans="1:15" s="45" customFormat="1" x14ac:dyDescent="0.25">
      <c r="A248" s="107" t="s">
        <v>386</v>
      </c>
      <c r="B248" s="238" t="s">
        <v>3563</v>
      </c>
      <c r="C248" s="252" t="s">
        <v>146</v>
      </c>
      <c r="D248" s="90">
        <v>46.820414</v>
      </c>
      <c r="E248" s="90">
        <v>17.858097999999998</v>
      </c>
      <c r="F248" s="242">
        <v>5050</v>
      </c>
      <c r="G248" s="241">
        <v>5100</v>
      </c>
      <c r="H248" s="241">
        <v>5000</v>
      </c>
      <c r="I248" s="243" t="s">
        <v>52</v>
      </c>
      <c r="J248" s="40" t="s">
        <v>69</v>
      </c>
      <c r="K248" s="417" t="s">
        <v>21</v>
      </c>
      <c r="L248" s="17" t="s">
        <v>14</v>
      </c>
      <c r="M248" s="108" t="s">
        <v>3573</v>
      </c>
      <c r="N248" s="230" t="s">
        <v>3572</v>
      </c>
      <c r="O248" s="205" t="s">
        <v>3336</v>
      </c>
    </row>
    <row r="249" spans="1:15" s="45" customFormat="1" x14ac:dyDescent="0.25">
      <c r="A249" s="107" t="s">
        <v>386</v>
      </c>
      <c r="B249" s="238" t="s">
        <v>3563</v>
      </c>
      <c r="C249" s="252" t="s">
        <v>146</v>
      </c>
      <c r="D249" s="90">
        <v>46.820414</v>
      </c>
      <c r="E249" s="90">
        <v>17.858097999999998</v>
      </c>
      <c r="F249" s="242">
        <v>5050</v>
      </c>
      <c r="G249" s="241">
        <v>5100</v>
      </c>
      <c r="H249" s="241">
        <v>5000</v>
      </c>
      <c r="I249" s="126" t="s">
        <v>34</v>
      </c>
      <c r="J249" s="40" t="s">
        <v>69</v>
      </c>
      <c r="K249" s="417" t="s">
        <v>21</v>
      </c>
      <c r="L249" s="17" t="s">
        <v>14</v>
      </c>
      <c r="M249" s="108" t="s">
        <v>3568</v>
      </c>
      <c r="N249" s="230" t="s">
        <v>3570</v>
      </c>
      <c r="O249" s="205" t="s">
        <v>3336</v>
      </c>
    </row>
    <row r="250" spans="1:15" s="45" customFormat="1" x14ac:dyDescent="0.25">
      <c r="A250" s="107" t="s">
        <v>386</v>
      </c>
      <c r="B250" s="238" t="s">
        <v>3563</v>
      </c>
      <c r="C250" s="252" t="s">
        <v>146</v>
      </c>
      <c r="D250" s="90">
        <v>46.820414</v>
      </c>
      <c r="E250" s="90">
        <v>17.858097999999998</v>
      </c>
      <c r="F250" s="242">
        <v>5050</v>
      </c>
      <c r="G250" s="241">
        <v>5100</v>
      </c>
      <c r="H250" s="241">
        <v>5000</v>
      </c>
      <c r="I250" s="126" t="s">
        <v>18</v>
      </c>
      <c r="J250" s="40" t="s">
        <v>69</v>
      </c>
      <c r="K250" s="417" t="s">
        <v>21</v>
      </c>
      <c r="L250" s="17" t="s">
        <v>14</v>
      </c>
      <c r="M250" s="108" t="s">
        <v>3566</v>
      </c>
      <c r="N250" s="230" t="s">
        <v>3564</v>
      </c>
      <c r="O250" s="205" t="s">
        <v>3336</v>
      </c>
    </row>
    <row r="251" spans="1:15" s="45" customFormat="1" x14ac:dyDescent="0.25">
      <c r="A251" s="107" t="s">
        <v>386</v>
      </c>
      <c r="B251" s="238" t="s">
        <v>3563</v>
      </c>
      <c r="C251" s="252" t="s">
        <v>146</v>
      </c>
      <c r="D251" s="90">
        <v>46.820414</v>
      </c>
      <c r="E251" s="90">
        <v>17.858097999999998</v>
      </c>
      <c r="F251" s="242">
        <v>5050</v>
      </c>
      <c r="G251" s="241">
        <v>5100</v>
      </c>
      <c r="H251" s="241">
        <v>5000</v>
      </c>
      <c r="I251" s="126" t="s">
        <v>32</v>
      </c>
      <c r="J251" s="40" t="s">
        <v>69</v>
      </c>
      <c r="K251" s="417" t="s">
        <v>21</v>
      </c>
      <c r="L251" s="17" t="s">
        <v>69</v>
      </c>
      <c r="M251" s="108" t="s">
        <v>3567</v>
      </c>
      <c r="N251" s="230" t="s">
        <v>3565</v>
      </c>
      <c r="O251" s="205" t="s">
        <v>3336</v>
      </c>
    </row>
    <row r="252" spans="1:15" s="45" customFormat="1" x14ac:dyDescent="0.25">
      <c r="A252" s="107" t="s">
        <v>386</v>
      </c>
      <c r="B252" s="238" t="s">
        <v>3563</v>
      </c>
      <c r="C252" s="252" t="s">
        <v>146</v>
      </c>
      <c r="D252" s="90">
        <v>46.820414</v>
      </c>
      <c r="E252" s="90">
        <v>17.858097999999998</v>
      </c>
      <c r="F252" s="242">
        <v>5050</v>
      </c>
      <c r="G252" s="241">
        <v>5100</v>
      </c>
      <c r="H252" s="241">
        <v>5000</v>
      </c>
      <c r="I252" s="126" t="s">
        <v>34</v>
      </c>
      <c r="J252" s="40" t="s">
        <v>69</v>
      </c>
      <c r="K252" s="417" t="s">
        <v>21</v>
      </c>
      <c r="L252" s="17" t="s">
        <v>2</v>
      </c>
      <c r="M252" s="108" t="s">
        <v>3569</v>
      </c>
      <c r="N252" s="230" t="s">
        <v>3571</v>
      </c>
      <c r="O252" s="205" t="s">
        <v>3336</v>
      </c>
    </row>
    <row r="253" spans="1:15" s="45" customFormat="1" x14ac:dyDescent="0.25">
      <c r="A253" s="107" t="s">
        <v>386</v>
      </c>
      <c r="B253" s="530" t="s">
        <v>3496</v>
      </c>
      <c r="C253" s="252" t="s">
        <v>146</v>
      </c>
      <c r="D253" s="90">
        <v>46.789364999999997</v>
      </c>
      <c r="E253" s="90">
        <v>17.784884999999999</v>
      </c>
      <c r="F253" s="242">
        <v>5050</v>
      </c>
      <c r="G253" s="241">
        <v>5100</v>
      </c>
      <c r="H253" s="241">
        <v>5000</v>
      </c>
      <c r="I253" s="126" t="s">
        <v>18</v>
      </c>
      <c r="J253" s="40" t="s">
        <v>69</v>
      </c>
      <c r="K253" s="417" t="s">
        <v>21</v>
      </c>
      <c r="L253" s="17" t="s">
        <v>2</v>
      </c>
      <c r="M253" s="108" t="s">
        <v>3488</v>
      </c>
      <c r="N253" s="230" t="s">
        <v>3492</v>
      </c>
      <c r="O253" s="205" t="s">
        <v>3336</v>
      </c>
    </row>
    <row r="254" spans="1:15" s="45" customFormat="1" x14ac:dyDescent="0.25">
      <c r="A254" s="107" t="s">
        <v>386</v>
      </c>
      <c r="B254" s="530" t="s">
        <v>3496</v>
      </c>
      <c r="C254" s="252" t="s">
        <v>146</v>
      </c>
      <c r="D254" s="90">
        <v>46.789364999999997</v>
      </c>
      <c r="E254" s="90">
        <v>17.784884999999999</v>
      </c>
      <c r="F254" s="242">
        <v>5050</v>
      </c>
      <c r="G254" s="241">
        <v>5100</v>
      </c>
      <c r="H254" s="241">
        <v>5000</v>
      </c>
      <c r="I254" s="243" t="s">
        <v>3497</v>
      </c>
      <c r="J254" s="40" t="s">
        <v>69</v>
      </c>
      <c r="K254" s="417" t="s">
        <v>21</v>
      </c>
      <c r="L254" s="17" t="s">
        <v>69</v>
      </c>
      <c r="M254" s="108" t="s">
        <v>3489</v>
      </c>
      <c r="N254" s="230" t="s">
        <v>3493</v>
      </c>
      <c r="O254" s="205" t="s">
        <v>3336</v>
      </c>
    </row>
    <row r="255" spans="1:15" s="45" customFormat="1" x14ac:dyDescent="0.25">
      <c r="A255" s="107" t="s">
        <v>386</v>
      </c>
      <c r="B255" s="530" t="s">
        <v>3496</v>
      </c>
      <c r="C255" s="252" t="s">
        <v>146</v>
      </c>
      <c r="D255" s="90">
        <v>46.789364999999997</v>
      </c>
      <c r="E255" s="90">
        <v>17.784884999999999</v>
      </c>
      <c r="F255" s="242">
        <v>5050</v>
      </c>
      <c r="G255" s="241">
        <v>5100</v>
      </c>
      <c r="H255" s="241">
        <v>5000</v>
      </c>
      <c r="I255" s="243" t="s">
        <v>18</v>
      </c>
      <c r="J255" s="40" t="s">
        <v>69</v>
      </c>
      <c r="K255" s="417" t="s">
        <v>21</v>
      </c>
      <c r="L255" s="17" t="s">
        <v>14</v>
      </c>
      <c r="M255" s="108" t="s">
        <v>3490</v>
      </c>
      <c r="N255" s="230" t="s">
        <v>3494</v>
      </c>
      <c r="O255" s="205" t="s">
        <v>3336</v>
      </c>
    </row>
    <row r="256" spans="1:15" s="45" customFormat="1" x14ac:dyDescent="0.25">
      <c r="A256" s="107" t="s">
        <v>386</v>
      </c>
      <c r="B256" s="530" t="s">
        <v>3496</v>
      </c>
      <c r="C256" s="252" t="s">
        <v>146</v>
      </c>
      <c r="D256" s="90">
        <v>46.789364999999997</v>
      </c>
      <c r="E256" s="90">
        <v>17.784884999999999</v>
      </c>
      <c r="F256" s="242">
        <v>5050</v>
      </c>
      <c r="G256" s="241">
        <v>5100</v>
      </c>
      <c r="H256" s="241">
        <v>5000</v>
      </c>
      <c r="I256" s="126" t="s">
        <v>18</v>
      </c>
      <c r="J256" s="40" t="s">
        <v>69</v>
      </c>
      <c r="K256" s="417" t="s">
        <v>21</v>
      </c>
      <c r="L256" s="17" t="s">
        <v>69</v>
      </c>
      <c r="M256" s="108" t="s">
        <v>3491</v>
      </c>
      <c r="N256" s="230" t="s">
        <v>3495</v>
      </c>
      <c r="O256" s="205" t="s">
        <v>3336</v>
      </c>
    </row>
    <row r="257" spans="1:15" s="45" customFormat="1" x14ac:dyDescent="0.25">
      <c r="A257" s="107" t="s">
        <v>386</v>
      </c>
      <c r="B257" s="530" t="s">
        <v>3498</v>
      </c>
      <c r="C257" s="252" t="s">
        <v>146</v>
      </c>
      <c r="D257" s="192">
        <v>46.736119000000002</v>
      </c>
      <c r="E257" s="192">
        <v>18.958091</v>
      </c>
      <c r="F257" s="242">
        <f>(G257+H257)/2</f>
        <v>5100</v>
      </c>
      <c r="G257" s="241">
        <v>5300</v>
      </c>
      <c r="H257" s="241">
        <v>4900</v>
      </c>
      <c r="I257" s="243" t="s">
        <v>18</v>
      </c>
      <c r="J257" s="40" t="s">
        <v>69</v>
      </c>
      <c r="K257" s="417" t="s">
        <v>21</v>
      </c>
      <c r="L257" s="17" t="s">
        <v>69</v>
      </c>
      <c r="M257" s="108" t="s">
        <v>3499</v>
      </c>
      <c r="N257" s="239" t="s">
        <v>3504</v>
      </c>
      <c r="O257" s="205" t="s">
        <v>3575</v>
      </c>
    </row>
    <row r="258" spans="1:15" s="45" customFormat="1" x14ac:dyDescent="0.25">
      <c r="A258" s="107" t="s">
        <v>386</v>
      </c>
      <c r="B258" s="530" t="s">
        <v>3498</v>
      </c>
      <c r="C258" s="252" t="s">
        <v>146</v>
      </c>
      <c r="D258" s="192">
        <v>46.736119000000002</v>
      </c>
      <c r="E258" s="192">
        <v>18.958091</v>
      </c>
      <c r="F258" s="242">
        <v>5050</v>
      </c>
      <c r="G258" s="241">
        <v>5100</v>
      </c>
      <c r="H258" s="241">
        <v>5000</v>
      </c>
      <c r="I258" s="243" t="s">
        <v>34</v>
      </c>
      <c r="J258" s="40" t="s">
        <v>69</v>
      </c>
      <c r="K258" s="417" t="s">
        <v>21</v>
      </c>
      <c r="L258" s="17" t="s">
        <v>69</v>
      </c>
      <c r="M258" s="108" t="s">
        <v>3500</v>
      </c>
      <c r="N258" s="239" t="s">
        <v>3505</v>
      </c>
      <c r="O258" s="205" t="s">
        <v>3126</v>
      </c>
    </row>
    <row r="259" spans="1:15" s="45" customFormat="1" ht="15.75" thickBot="1" x14ac:dyDescent="0.3">
      <c r="A259" s="107" t="s">
        <v>386</v>
      </c>
      <c r="B259" s="530" t="s">
        <v>3498</v>
      </c>
      <c r="C259" s="252" t="s">
        <v>146</v>
      </c>
      <c r="D259" s="192">
        <v>46.736119000000002</v>
      </c>
      <c r="E259" s="192">
        <v>18.958091</v>
      </c>
      <c r="F259" s="242">
        <v>5050</v>
      </c>
      <c r="G259" s="241">
        <v>5100</v>
      </c>
      <c r="H259" s="241">
        <v>5000</v>
      </c>
      <c r="I259" s="233" t="s">
        <v>18</v>
      </c>
      <c r="J259" s="40" t="s">
        <v>69</v>
      </c>
      <c r="K259" s="417" t="s">
        <v>21</v>
      </c>
      <c r="L259" s="17" t="s">
        <v>69</v>
      </c>
      <c r="M259" s="108" t="s">
        <v>3501</v>
      </c>
      <c r="N259" s="239" t="s">
        <v>3506</v>
      </c>
      <c r="O259" s="205" t="s">
        <v>3126</v>
      </c>
    </row>
    <row r="260" spans="1:15" s="45" customFormat="1" ht="15.75" thickBot="1" x14ac:dyDescent="0.3">
      <c r="A260" s="107" t="s">
        <v>386</v>
      </c>
      <c r="B260" s="530" t="s">
        <v>3498</v>
      </c>
      <c r="C260" s="252" t="s">
        <v>146</v>
      </c>
      <c r="D260" s="192">
        <v>46.736119000000002</v>
      </c>
      <c r="E260" s="192">
        <v>18.958091</v>
      </c>
      <c r="F260" s="242">
        <v>5050</v>
      </c>
      <c r="G260" s="241">
        <v>5100</v>
      </c>
      <c r="H260" s="241">
        <v>5000</v>
      </c>
      <c r="I260" s="174" t="s">
        <v>43</v>
      </c>
      <c r="J260" s="40" t="s">
        <v>69</v>
      </c>
      <c r="K260" s="417" t="s">
        <v>21</v>
      </c>
      <c r="L260" s="17" t="s">
        <v>69</v>
      </c>
      <c r="M260" s="108" t="s">
        <v>3502</v>
      </c>
      <c r="N260" s="239" t="s">
        <v>3507</v>
      </c>
      <c r="O260" s="205" t="s">
        <v>3126</v>
      </c>
    </row>
    <row r="261" spans="1:15" s="45" customFormat="1" ht="15.75" thickBot="1" x14ac:dyDescent="0.3">
      <c r="A261" s="107" t="s">
        <v>386</v>
      </c>
      <c r="B261" s="530" t="s">
        <v>3498</v>
      </c>
      <c r="C261" s="252" t="s">
        <v>146</v>
      </c>
      <c r="D261" s="192">
        <v>46.736119000000002</v>
      </c>
      <c r="E261" s="192">
        <v>18.958091</v>
      </c>
      <c r="F261" s="242">
        <v>5050</v>
      </c>
      <c r="G261" s="241">
        <v>5100</v>
      </c>
      <c r="H261" s="241">
        <v>5000</v>
      </c>
      <c r="I261" s="174" t="s">
        <v>6</v>
      </c>
      <c r="J261" s="40" t="s">
        <v>69</v>
      </c>
      <c r="K261" s="417" t="s">
        <v>21</v>
      </c>
      <c r="L261" s="17" t="s">
        <v>69</v>
      </c>
      <c r="M261" s="108" t="s">
        <v>3503</v>
      </c>
      <c r="N261" s="239" t="s">
        <v>3508</v>
      </c>
      <c r="O261" s="205" t="s">
        <v>3126</v>
      </c>
    </row>
    <row r="262" spans="1:15" s="45" customFormat="1" x14ac:dyDescent="0.25">
      <c r="A262" s="107" t="s">
        <v>386</v>
      </c>
      <c r="B262" s="530" t="s">
        <v>3533</v>
      </c>
      <c r="C262" s="252" t="s">
        <v>146</v>
      </c>
      <c r="D262" s="90">
        <v>47.501634000000003</v>
      </c>
      <c r="E262" s="90">
        <v>18.910468000000002</v>
      </c>
      <c r="F262" s="242">
        <v>5050</v>
      </c>
      <c r="G262" s="241">
        <v>5100</v>
      </c>
      <c r="H262" s="241">
        <v>5000</v>
      </c>
      <c r="I262" s="243" t="s">
        <v>864</v>
      </c>
      <c r="J262" s="40" t="s">
        <v>69</v>
      </c>
      <c r="K262" s="417" t="s">
        <v>21</v>
      </c>
      <c r="L262" s="17" t="s">
        <v>2</v>
      </c>
      <c r="M262" s="108" t="s">
        <v>3509</v>
      </c>
      <c r="N262" s="239" t="s">
        <v>3521</v>
      </c>
      <c r="O262" s="205" t="s">
        <v>3126</v>
      </c>
    </row>
    <row r="263" spans="1:15" s="45" customFormat="1" x14ac:dyDescent="0.25">
      <c r="A263" s="107" t="s">
        <v>386</v>
      </c>
      <c r="B263" s="530" t="s">
        <v>3533</v>
      </c>
      <c r="C263" s="252" t="s">
        <v>146</v>
      </c>
      <c r="D263" s="90">
        <v>47.501634000000003</v>
      </c>
      <c r="E263" s="90">
        <v>18.910468000000002</v>
      </c>
      <c r="F263" s="242">
        <f>(G263+H263)/2</f>
        <v>5130</v>
      </c>
      <c r="G263" s="241">
        <v>5220</v>
      </c>
      <c r="H263" s="241">
        <v>5040</v>
      </c>
      <c r="I263" s="126" t="s">
        <v>10</v>
      </c>
      <c r="J263" s="40" t="s">
        <v>69</v>
      </c>
      <c r="K263" s="417" t="s">
        <v>21</v>
      </c>
      <c r="L263" s="17" t="s">
        <v>14</v>
      </c>
      <c r="M263" s="108" t="s">
        <v>3510</v>
      </c>
      <c r="N263" s="239" t="s">
        <v>3522</v>
      </c>
      <c r="O263" s="205" t="s">
        <v>3126</v>
      </c>
    </row>
    <row r="264" spans="1:15" s="45" customFormat="1" x14ac:dyDescent="0.25">
      <c r="A264" s="107" t="s">
        <v>386</v>
      </c>
      <c r="B264" s="530" t="s">
        <v>3533</v>
      </c>
      <c r="C264" s="252" t="s">
        <v>146</v>
      </c>
      <c r="D264" s="90">
        <v>47.501634000000003</v>
      </c>
      <c r="E264" s="90">
        <v>18.910468000000002</v>
      </c>
      <c r="F264" s="242">
        <f>(G264+H264)/2</f>
        <v>5130</v>
      </c>
      <c r="G264" s="241">
        <v>5220</v>
      </c>
      <c r="H264" s="241">
        <v>5040</v>
      </c>
      <c r="I264" s="243" t="s">
        <v>58</v>
      </c>
      <c r="J264" s="40" t="s">
        <v>69</v>
      </c>
      <c r="K264" s="417" t="s">
        <v>21</v>
      </c>
      <c r="L264" s="17" t="s">
        <v>2</v>
      </c>
      <c r="M264" s="108" t="s">
        <v>3511</v>
      </c>
      <c r="N264" s="239" t="s">
        <v>3523</v>
      </c>
      <c r="O264" s="205" t="s">
        <v>3126</v>
      </c>
    </row>
    <row r="265" spans="1:15" s="45" customFormat="1" x14ac:dyDescent="0.25">
      <c r="A265" s="107" t="s">
        <v>386</v>
      </c>
      <c r="B265" s="530" t="s">
        <v>3533</v>
      </c>
      <c r="C265" s="252" t="s">
        <v>146</v>
      </c>
      <c r="D265" s="192">
        <v>47.501629999999999</v>
      </c>
      <c r="E265" s="192">
        <v>18.910468000000002</v>
      </c>
      <c r="F265" s="242">
        <f>(G265+H265)/2</f>
        <v>5100</v>
      </c>
      <c r="G265" s="241">
        <v>5300</v>
      </c>
      <c r="H265" s="241">
        <v>4900</v>
      </c>
      <c r="I265" s="243" t="s">
        <v>26</v>
      </c>
      <c r="J265" s="2" t="s">
        <v>335</v>
      </c>
      <c r="K265" s="417" t="s">
        <v>21</v>
      </c>
      <c r="L265" s="17" t="s">
        <v>14</v>
      </c>
      <c r="M265" s="108" t="s">
        <v>3512</v>
      </c>
      <c r="N265" s="239" t="s">
        <v>3524</v>
      </c>
      <c r="O265" s="205" t="s">
        <v>3582</v>
      </c>
    </row>
    <row r="266" spans="1:15" s="45" customFormat="1" x14ac:dyDescent="0.25">
      <c r="A266" s="107" t="s">
        <v>386</v>
      </c>
      <c r="B266" s="530" t="s">
        <v>3533</v>
      </c>
      <c r="C266" s="252" t="s">
        <v>146</v>
      </c>
      <c r="D266" s="90">
        <v>47.501634000000003</v>
      </c>
      <c r="E266" s="90">
        <v>18.910468000000002</v>
      </c>
      <c r="F266" s="242">
        <v>5050</v>
      </c>
      <c r="G266" s="241">
        <v>5100</v>
      </c>
      <c r="H266" s="241">
        <v>5000</v>
      </c>
      <c r="I266" s="243" t="s">
        <v>109</v>
      </c>
      <c r="J266" s="40" t="s">
        <v>69</v>
      </c>
      <c r="K266" s="417" t="s">
        <v>21</v>
      </c>
      <c r="L266" s="17" t="s">
        <v>2</v>
      </c>
      <c r="M266" s="108" t="s">
        <v>3513</v>
      </c>
      <c r="N266" s="239" t="s">
        <v>3525</v>
      </c>
      <c r="O266" s="205" t="s">
        <v>3126</v>
      </c>
    </row>
    <row r="267" spans="1:15" s="45" customFormat="1" x14ac:dyDescent="0.25">
      <c r="A267" s="107" t="s">
        <v>386</v>
      </c>
      <c r="B267" s="530" t="s">
        <v>3533</v>
      </c>
      <c r="C267" s="252" t="s">
        <v>146</v>
      </c>
      <c r="D267" s="90">
        <v>47.501634000000003</v>
      </c>
      <c r="E267" s="90">
        <v>18.910468000000002</v>
      </c>
      <c r="F267" s="242">
        <v>5050</v>
      </c>
      <c r="G267" s="241">
        <v>5100</v>
      </c>
      <c r="H267" s="241">
        <v>5000</v>
      </c>
      <c r="I267" s="126" t="s">
        <v>18</v>
      </c>
      <c r="J267" s="40" t="s">
        <v>69</v>
      </c>
      <c r="K267" s="417" t="s">
        <v>21</v>
      </c>
      <c r="L267" s="17" t="s">
        <v>69</v>
      </c>
      <c r="M267" s="108" t="s">
        <v>3514</v>
      </c>
      <c r="N267" s="239" t="s">
        <v>3526</v>
      </c>
      <c r="O267" s="205" t="s">
        <v>3126</v>
      </c>
    </row>
    <row r="268" spans="1:15" s="45" customFormat="1" x14ac:dyDescent="0.25">
      <c r="A268" s="107" t="s">
        <v>386</v>
      </c>
      <c r="B268" s="530" t="s">
        <v>3533</v>
      </c>
      <c r="C268" s="252" t="s">
        <v>146</v>
      </c>
      <c r="D268" s="90">
        <v>47.501634000000003</v>
      </c>
      <c r="E268" s="90">
        <v>18.910468000000002</v>
      </c>
      <c r="F268" s="242">
        <f>(G268+H268)/2</f>
        <v>5100</v>
      </c>
      <c r="G268" s="241">
        <v>5300</v>
      </c>
      <c r="H268" s="241">
        <v>4900</v>
      </c>
      <c r="I268" s="243" t="s">
        <v>1292</v>
      </c>
      <c r="J268" s="40" t="s">
        <v>69</v>
      </c>
      <c r="K268" s="417" t="s">
        <v>21</v>
      </c>
      <c r="L268" s="17" t="s">
        <v>2</v>
      </c>
      <c r="M268" s="108" t="s">
        <v>3515</v>
      </c>
      <c r="N268" s="230" t="s">
        <v>3527</v>
      </c>
      <c r="O268" s="205" t="s">
        <v>3581</v>
      </c>
    </row>
    <row r="269" spans="1:15" s="45" customFormat="1" x14ac:dyDescent="0.25">
      <c r="A269" s="107" t="s">
        <v>386</v>
      </c>
      <c r="B269" s="530" t="s">
        <v>3533</v>
      </c>
      <c r="C269" s="252" t="s">
        <v>146</v>
      </c>
      <c r="D269" s="90">
        <v>47.501634000000003</v>
      </c>
      <c r="E269" s="90">
        <v>18.910468000000002</v>
      </c>
      <c r="F269" s="242">
        <v>5050</v>
      </c>
      <c r="G269" s="241">
        <v>5100</v>
      </c>
      <c r="H269" s="241">
        <v>5000</v>
      </c>
      <c r="I269" s="126" t="s">
        <v>18</v>
      </c>
      <c r="J269" s="40" t="s">
        <v>69</v>
      </c>
      <c r="K269" s="417" t="s">
        <v>21</v>
      </c>
      <c r="L269" s="17" t="s">
        <v>69</v>
      </c>
      <c r="M269" s="108" t="s">
        <v>3516</v>
      </c>
      <c r="N269" s="230" t="s">
        <v>3528</v>
      </c>
      <c r="O269" s="205" t="s">
        <v>3126</v>
      </c>
    </row>
    <row r="270" spans="1:15" s="45" customFormat="1" x14ac:dyDescent="0.25">
      <c r="A270" s="107" t="s">
        <v>386</v>
      </c>
      <c r="B270" s="530" t="s">
        <v>3533</v>
      </c>
      <c r="C270" s="252" t="s">
        <v>146</v>
      </c>
      <c r="D270" s="90">
        <v>47.501634000000003</v>
      </c>
      <c r="E270" s="90">
        <v>18.910468000000002</v>
      </c>
      <c r="F270" s="242">
        <v>5050</v>
      </c>
      <c r="G270" s="241">
        <v>5100</v>
      </c>
      <c r="H270" s="241">
        <v>5000</v>
      </c>
      <c r="I270" s="243" t="s">
        <v>7</v>
      </c>
      <c r="J270" s="40" t="s">
        <v>69</v>
      </c>
      <c r="K270" s="417" t="s">
        <v>21</v>
      </c>
      <c r="L270" s="17" t="s">
        <v>69</v>
      </c>
      <c r="M270" s="108" t="s">
        <v>3517</v>
      </c>
      <c r="N270" s="230" t="s">
        <v>3529</v>
      </c>
      <c r="O270" s="205" t="s">
        <v>3126</v>
      </c>
    </row>
    <row r="271" spans="1:15" s="45" customFormat="1" ht="15.75" thickBot="1" x14ac:dyDescent="0.3">
      <c r="A271" s="107" t="s">
        <v>386</v>
      </c>
      <c r="B271" s="530" t="s">
        <v>3533</v>
      </c>
      <c r="C271" s="252" t="s">
        <v>146</v>
      </c>
      <c r="D271" s="90">
        <v>47.501634000000003</v>
      </c>
      <c r="E271" s="90">
        <v>18.910468000000002</v>
      </c>
      <c r="F271" s="242">
        <f>(G271+H271)/2</f>
        <v>4955</v>
      </c>
      <c r="G271" s="241">
        <v>5060</v>
      </c>
      <c r="H271" s="241">
        <v>4850</v>
      </c>
      <c r="I271" s="126" t="s">
        <v>82</v>
      </c>
      <c r="J271" s="40" t="s">
        <v>69</v>
      </c>
      <c r="K271" s="417" t="s">
        <v>21</v>
      </c>
      <c r="L271" s="17" t="s">
        <v>14</v>
      </c>
      <c r="M271" s="108" t="s">
        <v>3518</v>
      </c>
      <c r="N271" s="230" t="s">
        <v>3530</v>
      </c>
      <c r="O271" s="205" t="s">
        <v>3126</v>
      </c>
    </row>
    <row r="272" spans="1:15" s="45" customFormat="1" ht="15.75" thickBot="1" x14ac:dyDescent="0.3">
      <c r="A272" s="107" t="s">
        <v>386</v>
      </c>
      <c r="B272" s="530" t="s">
        <v>3533</v>
      </c>
      <c r="C272" s="252" t="s">
        <v>146</v>
      </c>
      <c r="D272" s="90">
        <v>47.501634000000003</v>
      </c>
      <c r="E272" s="90">
        <v>18.910468000000002</v>
      </c>
      <c r="F272" s="242">
        <f>(G272+H272)/2</f>
        <v>5115</v>
      </c>
      <c r="G272" s="241">
        <v>5220</v>
      </c>
      <c r="H272" s="241">
        <v>5010</v>
      </c>
      <c r="I272" s="244" t="s">
        <v>6</v>
      </c>
      <c r="J272" s="40" t="s">
        <v>69</v>
      </c>
      <c r="K272" s="417" t="s">
        <v>21</v>
      </c>
      <c r="L272" s="17" t="s">
        <v>2</v>
      </c>
      <c r="M272" s="108" t="s">
        <v>3519</v>
      </c>
      <c r="N272" s="230" t="s">
        <v>3531</v>
      </c>
      <c r="O272" s="205" t="s">
        <v>3126</v>
      </c>
    </row>
    <row r="273" spans="1:15" s="45" customFormat="1" x14ac:dyDescent="0.25">
      <c r="A273" s="107" t="s">
        <v>386</v>
      </c>
      <c r="B273" s="530" t="s">
        <v>3533</v>
      </c>
      <c r="C273" s="252" t="s">
        <v>146</v>
      </c>
      <c r="D273" s="90">
        <v>47.501634000000003</v>
      </c>
      <c r="E273" s="90">
        <v>18.910468000000002</v>
      </c>
      <c r="F273" s="242">
        <v>5050</v>
      </c>
      <c r="G273" s="241">
        <v>5100</v>
      </c>
      <c r="H273" s="241">
        <v>5000</v>
      </c>
      <c r="I273" s="243" t="s">
        <v>18</v>
      </c>
      <c r="J273" s="40" t="s">
        <v>69</v>
      </c>
      <c r="K273" s="417" t="s">
        <v>21</v>
      </c>
      <c r="L273" s="17" t="s">
        <v>69</v>
      </c>
      <c r="M273" s="108" t="s">
        <v>3520</v>
      </c>
      <c r="N273" s="230" t="s">
        <v>3532</v>
      </c>
      <c r="O273" s="205" t="s">
        <v>3126</v>
      </c>
    </row>
    <row r="274" spans="1:15" s="45" customFormat="1" x14ac:dyDescent="0.25">
      <c r="A274" s="107" t="s">
        <v>386</v>
      </c>
      <c r="B274" s="530" t="s">
        <v>3534</v>
      </c>
      <c r="C274" s="252" t="s">
        <v>146</v>
      </c>
      <c r="D274" s="531">
        <v>46.705469000000001</v>
      </c>
      <c r="E274" s="531">
        <v>19.014538000000002</v>
      </c>
      <c r="F274" s="242">
        <v>5050</v>
      </c>
      <c r="G274" s="241">
        <v>5100</v>
      </c>
      <c r="H274" s="241">
        <v>5000</v>
      </c>
      <c r="I274" s="243" t="s">
        <v>7</v>
      </c>
      <c r="J274" s="40" t="s">
        <v>69</v>
      </c>
      <c r="K274" s="417" t="s">
        <v>21</v>
      </c>
      <c r="L274" s="17" t="s">
        <v>69</v>
      </c>
      <c r="M274" s="108" t="s">
        <v>3535</v>
      </c>
      <c r="N274" s="230" t="s">
        <v>3536</v>
      </c>
      <c r="O274" s="205" t="s">
        <v>3336</v>
      </c>
    </row>
    <row r="275" spans="1:15" s="45" customFormat="1" x14ac:dyDescent="0.25">
      <c r="A275" s="107" t="s">
        <v>386</v>
      </c>
      <c r="B275" s="530" t="s">
        <v>3534</v>
      </c>
      <c r="C275" s="252" t="s">
        <v>146</v>
      </c>
      <c r="D275" s="531">
        <v>46.705469000000001</v>
      </c>
      <c r="E275" s="531">
        <v>19.014538000000002</v>
      </c>
      <c r="F275" s="242">
        <v>5050</v>
      </c>
      <c r="G275" s="241">
        <v>5100</v>
      </c>
      <c r="H275" s="241">
        <v>5000</v>
      </c>
      <c r="I275" s="243" t="s">
        <v>78</v>
      </c>
      <c r="J275" s="40" t="s">
        <v>69</v>
      </c>
      <c r="K275" s="417" t="s">
        <v>21</v>
      </c>
      <c r="L275" s="17" t="s">
        <v>2</v>
      </c>
      <c r="M275" s="108" t="s">
        <v>3537</v>
      </c>
      <c r="N275" s="230" t="s">
        <v>3541</v>
      </c>
      <c r="O275" s="205" t="s">
        <v>3336</v>
      </c>
    </row>
    <row r="276" spans="1:15" s="45" customFormat="1" ht="15.75" thickBot="1" x14ac:dyDescent="0.3">
      <c r="A276" s="107" t="s">
        <v>386</v>
      </c>
      <c r="B276" s="530" t="s">
        <v>3534</v>
      </c>
      <c r="C276" s="252" t="s">
        <v>146</v>
      </c>
      <c r="D276" s="531">
        <v>46.705469000000001</v>
      </c>
      <c r="E276" s="531">
        <v>19.014538000000002</v>
      </c>
      <c r="F276" s="242">
        <v>5050</v>
      </c>
      <c r="G276" s="241">
        <v>5100</v>
      </c>
      <c r="H276" s="241">
        <v>5000</v>
      </c>
      <c r="I276" s="243" t="s">
        <v>56</v>
      </c>
      <c r="J276" s="40" t="s">
        <v>69</v>
      </c>
      <c r="K276" s="417" t="s">
        <v>21</v>
      </c>
      <c r="L276" s="17" t="s">
        <v>14</v>
      </c>
      <c r="M276" s="108" t="s">
        <v>3538</v>
      </c>
      <c r="N276" s="230" t="s">
        <v>3542</v>
      </c>
      <c r="O276" s="205" t="s">
        <v>3336</v>
      </c>
    </row>
    <row r="277" spans="1:15" s="45" customFormat="1" ht="15.75" thickBot="1" x14ac:dyDescent="0.3">
      <c r="A277" s="107" t="s">
        <v>386</v>
      </c>
      <c r="B277" s="530" t="s">
        <v>3534</v>
      </c>
      <c r="C277" s="252" t="s">
        <v>146</v>
      </c>
      <c r="D277" s="531">
        <v>46.705469000000001</v>
      </c>
      <c r="E277" s="531">
        <v>19.014538000000002</v>
      </c>
      <c r="F277" s="242">
        <v>5050</v>
      </c>
      <c r="G277" s="241">
        <v>5100</v>
      </c>
      <c r="H277" s="241">
        <v>5000</v>
      </c>
      <c r="I277" s="244" t="s">
        <v>43</v>
      </c>
      <c r="J277" s="40" t="s">
        <v>69</v>
      </c>
      <c r="K277" s="417" t="s">
        <v>21</v>
      </c>
      <c r="L277" s="17" t="s">
        <v>69</v>
      </c>
      <c r="M277" s="108" t="s">
        <v>3539</v>
      </c>
      <c r="N277" s="230" t="s">
        <v>3543</v>
      </c>
      <c r="O277" s="205" t="s">
        <v>3336</v>
      </c>
    </row>
    <row r="278" spans="1:15" s="45" customFormat="1" x14ac:dyDescent="0.25">
      <c r="A278" s="107" t="s">
        <v>386</v>
      </c>
      <c r="B278" s="530" t="s">
        <v>3534</v>
      </c>
      <c r="C278" s="252" t="s">
        <v>146</v>
      </c>
      <c r="D278" s="531">
        <v>46.705469000000001</v>
      </c>
      <c r="E278" s="531">
        <v>19.014538000000002</v>
      </c>
      <c r="F278" s="242">
        <v>5050</v>
      </c>
      <c r="G278" s="241">
        <v>5100</v>
      </c>
      <c r="H278" s="241">
        <v>5000</v>
      </c>
      <c r="I278" s="243" t="s">
        <v>7</v>
      </c>
      <c r="J278" s="40" t="s">
        <v>69</v>
      </c>
      <c r="K278" s="417" t="s">
        <v>21</v>
      </c>
      <c r="L278" s="17" t="s">
        <v>2</v>
      </c>
      <c r="M278" s="108" t="s">
        <v>3540</v>
      </c>
      <c r="N278" s="230" t="s">
        <v>3544</v>
      </c>
      <c r="O278" s="205" t="s">
        <v>3336</v>
      </c>
    </row>
    <row r="279" spans="1:15" s="45" customFormat="1" x14ac:dyDescent="0.25">
      <c r="A279" s="107" t="s">
        <v>386</v>
      </c>
      <c r="B279" s="530" t="s">
        <v>3558</v>
      </c>
      <c r="C279" s="252" t="s">
        <v>146</v>
      </c>
      <c r="D279" s="90">
        <v>47.638674999999999</v>
      </c>
      <c r="E279" s="90">
        <v>17.364529000000001</v>
      </c>
      <c r="F279" s="242">
        <v>5050</v>
      </c>
      <c r="G279" s="241">
        <v>5100</v>
      </c>
      <c r="H279" s="241">
        <v>5000</v>
      </c>
      <c r="I279" s="243" t="s">
        <v>18</v>
      </c>
      <c r="J279" s="40" t="s">
        <v>69</v>
      </c>
      <c r="K279" s="417" t="s">
        <v>21</v>
      </c>
      <c r="L279" s="17" t="s">
        <v>2</v>
      </c>
      <c r="M279" s="108" t="s">
        <v>3551</v>
      </c>
      <c r="N279" s="230" t="s">
        <v>3552</v>
      </c>
      <c r="O279" s="205" t="s">
        <v>3126</v>
      </c>
    </row>
    <row r="280" spans="1:15" s="45" customFormat="1" x14ac:dyDescent="0.25">
      <c r="A280" s="107" t="s">
        <v>386</v>
      </c>
      <c r="B280" s="530" t="s">
        <v>3558</v>
      </c>
      <c r="C280" s="252" t="s">
        <v>146</v>
      </c>
      <c r="D280" s="90">
        <v>47.638674999999999</v>
      </c>
      <c r="E280" s="90">
        <v>17.364529000000001</v>
      </c>
      <c r="F280" s="242">
        <v>5050</v>
      </c>
      <c r="G280" s="241">
        <v>5300</v>
      </c>
      <c r="H280" s="241">
        <v>4900</v>
      </c>
      <c r="I280" s="243" t="s">
        <v>7</v>
      </c>
      <c r="J280" s="40" t="s">
        <v>69</v>
      </c>
      <c r="K280" s="417" t="s">
        <v>21</v>
      </c>
      <c r="L280" s="17" t="s">
        <v>2</v>
      </c>
      <c r="M280" s="108" t="s">
        <v>3586</v>
      </c>
      <c r="N280" s="230" t="s">
        <v>3553</v>
      </c>
      <c r="O280" s="205" t="s">
        <v>3587</v>
      </c>
    </row>
    <row r="281" spans="1:15" s="45" customFormat="1" x14ac:dyDescent="0.25">
      <c r="A281" s="107" t="s">
        <v>386</v>
      </c>
      <c r="B281" s="530" t="s">
        <v>3558</v>
      </c>
      <c r="C281" s="252" t="s">
        <v>146</v>
      </c>
      <c r="D281" s="90">
        <v>47.638674999999999</v>
      </c>
      <c r="E281" s="90">
        <v>17.364529000000001</v>
      </c>
      <c r="F281" s="242">
        <v>5050</v>
      </c>
      <c r="G281" s="241">
        <v>5100</v>
      </c>
      <c r="H281" s="241">
        <v>5000</v>
      </c>
      <c r="I281" s="243" t="s">
        <v>73</v>
      </c>
      <c r="J281" s="40" t="s">
        <v>69</v>
      </c>
      <c r="K281" s="417" t="s">
        <v>21</v>
      </c>
      <c r="L281" s="17" t="s">
        <v>69</v>
      </c>
      <c r="M281" s="108" t="s">
        <v>3554</v>
      </c>
      <c r="N281" s="230" t="s">
        <v>3556</v>
      </c>
      <c r="O281" s="205" t="s">
        <v>3126</v>
      </c>
    </row>
    <row r="282" spans="1:15" s="45" customFormat="1" x14ac:dyDescent="0.25">
      <c r="A282" s="107" t="s">
        <v>386</v>
      </c>
      <c r="B282" s="530" t="s">
        <v>3558</v>
      </c>
      <c r="C282" s="252" t="s">
        <v>146</v>
      </c>
      <c r="D282" s="90">
        <v>47.638674999999999</v>
      </c>
      <c r="E282" s="90">
        <v>17.364529000000001</v>
      </c>
      <c r="F282" s="242">
        <f>(G282+H282)/2</f>
        <v>4940</v>
      </c>
      <c r="G282" s="241">
        <v>5050</v>
      </c>
      <c r="H282" s="241">
        <v>4830</v>
      </c>
      <c r="I282" s="243" t="s">
        <v>73</v>
      </c>
      <c r="J282" s="40" t="s">
        <v>69</v>
      </c>
      <c r="K282" s="417" t="s">
        <v>21</v>
      </c>
      <c r="L282" s="17" t="s">
        <v>69</v>
      </c>
      <c r="M282" s="108" t="s">
        <v>3555</v>
      </c>
      <c r="N282" s="230" t="s">
        <v>3557</v>
      </c>
      <c r="O282" s="205"/>
    </row>
    <row r="283" spans="1:15" s="45" customFormat="1" x14ac:dyDescent="0.25">
      <c r="A283" s="107" t="s">
        <v>386</v>
      </c>
      <c r="B283" s="530" t="s">
        <v>3559</v>
      </c>
      <c r="C283" s="252" t="s">
        <v>146</v>
      </c>
      <c r="D283" s="532">
        <v>46.4</v>
      </c>
      <c r="E283" s="192">
        <v>18.739999999999998</v>
      </c>
      <c r="F283" s="242">
        <f>(G283+H283)/2</f>
        <v>5075</v>
      </c>
      <c r="G283" s="241">
        <v>5210</v>
      </c>
      <c r="H283" s="241">
        <v>4940</v>
      </c>
      <c r="I283" s="243" t="s">
        <v>52</v>
      </c>
      <c r="J283" s="40" t="s">
        <v>69</v>
      </c>
      <c r="K283" s="417" t="s">
        <v>21</v>
      </c>
      <c r="L283" s="17" t="s">
        <v>69</v>
      </c>
      <c r="M283" s="108" t="s">
        <v>804</v>
      </c>
      <c r="N283" s="239" t="s">
        <v>3560</v>
      </c>
      <c r="O283" s="205" t="s">
        <v>3588</v>
      </c>
    </row>
    <row r="284" spans="1:15" s="45" customFormat="1" x14ac:dyDescent="0.25">
      <c r="A284" s="107" t="s">
        <v>386</v>
      </c>
      <c r="B284" s="530" t="s">
        <v>3559</v>
      </c>
      <c r="C284" s="252" t="s">
        <v>146</v>
      </c>
      <c r="D284" s="532">
        <v>46.4</v>
      </c>
      <c r="E284" s="192">
        <v>18.739999999999998</v>
      </c>
      <c r="F284" s="242">
        <f>(G284+H284)/2</f>
        <v>5105</v>
      </c>
      <c r="G284" s="241">
        <v>5210</v>
      </c>
      <c r="H284" s="241">
        <v>5000</v>
      </c>
      <c r="I284" s="243" t="s">
        <v>52</v>
      </c>
      <c r="J284" s="40" t="s">
        <v>69</v>
      </c>
      <c r="K284" s="417" t="s">
        <v>21</v>
      </c>
      <c r="L284" s="17" t="s">
        <v>69</v>
      </c>
      <c r="M284" s="108" t="s">
        <v>3562</v>
      </c>
      <c r="N284" s="239" t="s">
        <v>3561</v>
      </c>
      <c r="O284" s="205"/>
    </row>
    <row r="285" spans="1:15" s="45" customFormat="1" ht="15.75" thickBot="1" x14ac:dyDescent="0.3">
      <c r="A285" s="107" t="s">
        <v>386</v>
      </c>
      <c r="B285" s="533" t="s">
        <v>3437</v>
      </c>
      <c r="C285" s="252" t="s">
        <v>146</v>
      </c>
      <c r="D285" s="90">
        <v>46.407091000000001</v>
      </c>
      <c r="E285" s="90">
        <v>18.742153999999999</v>
      </c>
      <c r="F285" s="116">
        <f>AVERAGE(G285:H285)</f>
        <v>5105</v>
      </c>
      <c r="G285" s="27">
        <v>5210</v>
      </c>
      <c r="H285" s="112">
        <v>5000</v>
      </c>
      <c r="I285" s="97" t="s">
        <v>58</v>
      </c>
      <c r="J285" s="40" t="s">
        <v>69</v>
      </c>
      <c r="K285" s="417" t="s">
        <v>21</v>
      </c>
      <c r="L285" s="17" t="s">
        <v>69</v>
      </c>
      <c r="M285" s="108" t="s">
        <v>3438</v>
      </c>
      <c r="N285" s="230">
        <v>2392</v>
      </c>
      <c r="O285" s="205"/>
    </row>
    <row r="286" spans="1:15" s="45" customFormat="1" ht="15.75" thickBot="1" x14ac:dyDescent="0.3">
      <c r="A286" s="107" t="s">
        <v>386</v>
      </c>
      <c r="B286" s="533" t="s">
        <v>3437</v>
      </c>
      <c r="C286" s="252" t="s">
        <v>146</v>
      </c>
      <c r="D286" s="90">
        <v>46.407091000000001</v>
      </c>
      <c r="E286" s="90">
        <v>18.742153999999999</v>
      </c>
      <c r="F286" s="116">
        <f>AVERAGE(G286:H286)</f>
        <v>5188.5</v>
      </c>
      <c r="G286" s="27">
        <v>5301</v>
      </c>
      <c r="H286" s="112">
        <v>5076</v>
      </c>
      <c r="I286" s="175" t="s">
        <v>789</v>
      </c>
      <c r="J286" s="2" t="s">
        <v>345</v>
      </c>
      <c r="K286" s="330" t="s">
        <v>3578</v>
      </c>
      <c r="L286" s="17" t="s">
        <v>69</v>
      </c>
      <c r="M286" s="108" t="s">
        <v>3738</v>
      </c>
      <c r="N286" s="230" t="s">
        <v>3737</v>
      </c>
      <c r="O286" s="205" t="s">
        <v>3740</v>
      </c>
    </row>
    <row r="287" spans="1:15" s="45" customFormat="1" x14ac:dyDescent="0.25">
      <c r="A287" s="107" t="s">
        <v>379</v>
      </c>
      <c r="B287" s="238" t="s">
        <v>3360</v>
      </c>
      <c r="C287" s="252" t="s">
        <v>146</v>
      </c>
      <c r="D287" s="90">
        <v>47.147889999999997</v>
      </c>
      <c r="E287" s="90">
        <v>20.923926099999999</v>
      </c>
      <c r="F287" s="534">
        <v>5250</v>
      </c>
      <c r="G287" s="90">
        <v>5500</v>
      </c>
      <c r="H287" s="90">
        <v>5000</v>
      </c>
      <c r="I287" s="97" t="s">
        <v>13</v>
      </c>
      <c r="J287" s="45" t="s">
        <v>69</v>
      </c>
      <c r="K287" s="330" t="s">
        <v>21</v>
      </c>
      <c r="L287" s="17" t="s">
        <v>69</v>
      </c>
      <c r="M287" s="597" t="s">
        <v>3361</v>
      </c>
      <c r="N287" s="643"/>
      <c r="O287" s="205"/>
    </row>
    <row r="288" spans="1:15" s="45" customFormat="1" ht="15.75" thickBot="1" x14ac:dyDescent="0.3">
      <c r="A288" s="107" t="s">
        <v>379</v>
      </c>
      <c r="B288" s="246" t="s">
        <v>3559</v>
      </c>
      <c r="C288" s="252" t="s">
        <v>146</v>
      </c>
      <c r="D288" s="245">
        <v>46.4</v>
      </c>
      <c r="E288" s="245">
        <v>18.739999999999998</v>
      </c>
      <c r="F288" s="116">
        <v>5630</v>
      </c>
      <c r="G288" s="27">
        <v>5210</v>
      </c>
      <c r="H288" s="112">
        <v>4940</v>
      </c>
      <c r="I288" s="97" t="s">
        <v>742</v>
      </c>
      <c r="J288" s="40" t="s">
        <v>69</v>
      </c>
      <c r="K288" s="330" t="s">
        <v>3652</v>
      </c>
      <c r="L288" s="17" t="s">
        <v>69</v>
      </c>
      <c r="M288" s="108" t="s">
        <v>804</v>
      </c>
      <c r="N288" s="230" t="s">
        <v>803</v>
      </c>
      <c r="O288" s="206"/>
    </row>
    <row r="289" spans="1:15" s="45" customFormat="1" ht="15.75" thickBot="1" x14ac:dyDescent="0.3">
      <c r="A289" s="107" t="s">
        <v>3580</v>
      </c>
      <c r="B289" s="238" t="s">
        <v>574</v>
      </c>
      <c r="C289" s="252" t="s">
        <v>146</v>
      </c>
      <c r="D289" s="41">
        <v>47.318741000000003</v>
      </c>
      <c r="E289" s="41">
        <v>21.527443000000002</v>
      </c>
      <c r="F289" s="116">
        <f t="shared" ref="F289:F296" si="11">AVERAGE(G289:H289)</f>
        <v>5639.5</v>
      </c>
      <c r="G289" s="27">
        <v>5713</v>
      </c>
      <c r="H289" s="112">
        <v>5566</v>
      </c>
      <c r="I289" s="174" t="s">
        <v>6</v>
      </c>
      <c r="J289" s="40" t="s">
        <v>69</v>
      </c>
      <c r="K289" s="330" t="s">
        <v>571</v>
      </c>
      <c r="L289" s="17" t="s">
        <v>2</v>
      </c>
      <c r="M289" s="108" t="s">
        <v>3579</v>
      </c>
      <c r="N289" s="230" t="s">
        <v>576</v>
      </c>
      <c r="O289" s="205" t="s">
        <v>3711</v>
      </c>
    </row>
    <row r="290" spans="1:15" s="45" customFormat="1" x14ac:dyDescent="0.25">
      <c r="A290" s="107" t="s">
        <v>3580</v>
      </c>
      <c r="B290" s="533" t="s">
        <v>3616</v>
      </c>
      <c r="C290" s="252" t="s">
        <v>146</v>
      </c>
      <c r="D290" s="192">
        <v>47.52</v>
      </c>
      <c r="E290" s="192">
        <v>21.588999999999999</v>
      </c>
      <c r="F290" s="116">
        <f t="shared" si="11"/>
        <v>5173.5</v>
      </c>
      <c r="G290" s="241">
        <v>5291</v>
      </c>
      <c r="H290" s="241">
        <v>5056</v>
      </c>
      <c r="I290" s="111" t="s">
        <v>18</v>
      </c>
      <c r="J290" s="2" t="s">
        <v>69</v>
      </c>
      <c r="K290" s="328" t="s">
        <v>3620</v>
      </c>
      <c r="L290" s="17" t="s">
        <v>2</v>
      </c>
      <c r="M290" s="87" t="s">
        <v>3625</v>
      </c>
      <c r="N290" s="643" t="s">
        <v>3622</v>
      </c>
      <c r="O290" s="205" t="s">
        <v>3626</v>
      </c>
    </row>
    <row r="291" spans="1:15" s="45" customFormat="1" x14ac:dyDescent="0.25">
      <c r="A291" s="107" t="s">
        <v>3580</v>
      </c>
      <c r="B291" s="535" t="s">
        <v>3617</v>
      </c>
      <c r="C291" s="252" t="s">
        <v>146</v>
      </c>
      <c r="D291" s="192">
        <v>47.167000000000002</v>
      </c>
      <c r="E291" s="192">
        <v>20.832999999999998</v>
      </c>
      <c r="F291" s="116">
        <f t="shared" si="11"/>
        <v>5122.5</v>
      </c>
      <c r="G291" s="241">
        <v>5295</v>
      </c>
      <c r="H291" s="241">
        <v>4950</v>
      </c>
      <c r="I291" s="111" t="s">
        <v>144</v>
      </c>
      <c r="J291" s="2" t="s">
        <v>147</v>
      </c>
      <c r="K291" s="328" t="s">
        <v>3620</v>
      </c>
      <c r="L291" s="17" t="s">
        <v>14</v>
      </c>
      <c r="M291" s="87" t="s">
        <v>3627</v>
      </c>
      <c r="N291" s="643" t="s">
        <v>3623</v>
      </c>
      <c r="O291" s="205" t="s">
        <v>3628</v>
      </c>
    </row>
    <row r="292" spans="1:15" s="45" customFormat="1" x14ac:dyDescent="0.25">
      <c r="A292" s="107" t="s">
        <v>3580</v>
      </c>
      <c r="B292" s="533" t="s">
        <v>3618</v>
      </c>
      <c r="C292" s="252" t="s">
        <v>146</v>
      </c>
      <c r="D292" s="192">
        <v>48.52</v>
      </c>
      <c r="E292" s="192">
        <v>21.167999999999999</v>
      </c>
      <c r="F292" s="116">
        <f t="shared" si="11"/>
        <v>5153.5</v>
      </c>
      <c r="G292" s="241">
        <v>5281</v>
      </c>
      <c r="H292" s="241">
        <v>5026</v>
      </c>
      <c r="I292" s="111" t="s">
        <v>3619</v>
      </c>
      <c r="J292" s="2" t="s">
        <v>69</v>
      </c>
      <c r="K292" s="328" t="s">
        <v>3621</v>
      </c>
      <c r="L292" s="17" t="s">
        <v>2</v>
      </c>
      <c r="M292" s="87" t="s">
        <v>3629</v>
      </c>
      <c r="N292" s="643" t="s">
        <v>3624</v>
      </c>
      <c r="O292" s="205" t="s">
        <v>3630</v>
      </c>
    </row>
    <row r="293" spans="1:15" s="45" customFormat="1" x14ac:dyDescent="0.25">
      <c r="A293" s="107" t="s">
        <v>3580</v>
      </c>
      <c r="B293" s="536" t="s">
        <v>3653</v>
      </c>
      <c r="C293" s="252" t="s">
        <v>146</v>
      </c>
      <c r="D293" s="192">
        <v>47.88</v>
      </c>
      <c r="E293" s="192">
        <v>21.192</v>
      </c>
      <c r="F293" s="116">
        <f t="shared" si="11"/>
        <v>5188.5</v>
      </c>
      <c r="G293" s="241">
        <v>5306</v>
      </c>
      <c r="H293" s="241">
        <v>5071</v>
      </c>
      <c r="I293" s="111" t="s">
        <v>1223</v>
      </c>
      <c r="J293" s="2" t="s">
        <v>69</v>
      </c>
      <c r="K293" s="328" t="s">
        <v>3620</v>
      </c>
      <c r="L293" s="17" t="s">
        <v>2</v>
      </c>
      <c r="M293" s="597" t="s">
        <v>3641</v>
      </c>
      <c r="N293" s="209" t="s">
        <v>3639</v>
      </c>
      <c r="O293" s="205" t="s">
        <v>3642</v>
      </c>
    </row>
    <row r="294" spans="1:15" s="45" customFormat="1" x14ac:dyDescent="0.25">
      <c r="A294" s="107" t="s">
        <v>3580</v>
      </c>
      <c r="B294" s="536" t="s">
        <v>3653</v>
      </c>
      <c r="C294" s="252" t="s">
        <v>146</v>
      </c>
      <c r="D294" s="192">
        <v>47.88</v>
      </c>
      <c r="E294" s="192">
        <v>21.192</v>
      </c>
      <c r="F294" s="116">
        <f t="shared" si="11"/>
        <v>5111</v>
      </c>
      <c r="G294" s="241">
        <v>5211</v>
      </c>
      <c r="H294" s="241">
        <v>5011</v>
      </c>
      <c r="I294" s="111" t="s">
        <v>871</v>
      </c>
      <c r="J294" s="2" t="s">
        <v>69</v>
      </c>
      <c r="K294" s="328" t="s">
        <v>3620</v>
      </c>
      <c r="L294" s="17" t="s">
        <v>2</v>
      </c>
      <c r="M294" s="597" t="s">
        <v>3643</v>
      </c>
      <c r="N294" s="209" t="s">
        <v>3640</v>
      </c>
      <c r="O294" s="205" t="s">
        <v>3644</v>
      </c>
    </row>
    <row r="295" spans="1:15" s="45" customFormat="1" ht="15.75" thickBot="1" x14ac:dyDescent="0.3">
      <c r="A295" s="107" t="s">
        <v>564</v>
      </c>
      <c r="B295" s="535" t="s">
        <v>3747</v>
      </c>
      <c r="C295" s="252" t="s">
        <v>146</v>
      </c>
      <c r="D295" s="17">
        <v>47.182830000000003</v>
      </c>
      <c r="E295" s="17">
        <v>20.350899999999999</v>
      </c>
      <c r="F295" s="116">
        <f t="shared" si="11"/>
        <v>5750</v>
      </c>
      <c r="G295" s="241">
        <v>6000</v>
      </c>
      <c r="H295" s="241">
        <v>5500</v>
      </c>
      <c r="I295" s="111" t="s">
        <v>18</v>
      </c>
      <c r="J295" s="2" t="s">
        <v>69</v>
      </c>
      <c r="K295" s="328" t="s">
        <v>3732</v>
      </c>
      <c r="L295" s="17" t="s">
        <v>2</v>
      </c>
      <c r="M295" s="597" t="s">
        <v>3742</v>
      </c>
      <c r="N295" s="209" t="s">
        <v>3739</v>
      </c>
      <c r="O295" s="205" t="s">
        <v>3743</v>
      </c>
    </row>
    <row r="296" spans="1:15" s="45" customFormat="1" ht="15.75" thickBot="1" x14ac:dyDescent="0.3">
      <c r="A296" s="107" t="s">
        <v>564</v>
      </c>
      <c r="B296" s="535" t="s">
        <v>3747</v>
      </c>
      <c r="C296" s="252" t="s">
        <v>146</v>
      </c>
      <c r="D296" s="17">
        <v>47.182830000000003</v>
      </c>
      <c r="E296" s="17">
        <v>20.350899999999999</v>
      </c>
      <c r="F296" s="116">
        <f t="shared" si="11"/>
        <v>5750</v>
      </c>
      <c r="G296" s="241">
        <v>6000</v>
      </c>
      <c r="H296" s="241">
        <v>5500</v>
      </c>
      <c r="I296" s="175" t="s">
        <v>352</v>
      </c>
      <c r="J296" s="2" t="s">
        <v>345</v>
      </c>
      <c r="K296" s="328" t="s">
        <v>3732</v>
      </c>
      <c r="L296" s="17" t="s">
        <v>14</v>
      </c>
      <c r="M296" s="597" t="s">
        <v>3746</v>
      </c>
      <c r="N296" s="209" t="s">
        <v>3744</v>
      </c>
      <c r="O296" s="205" t="s">
        <v>3745</v>
      </c>
    </row>
    <row r="297" spans="1:15" s="45" customFormat="1" ht="15.75" thickBot="1" x14ac:dyDescent="0.3">
      <c r="A297" s="107" t="s">
        <v>564</v>
      </c>
      <c r="B297" s="238" t="s">
        <v>263</v>
      </c>
      <c r="C297" s="252" t="s">
        <v>146</v>
      </c>
      <c r="D297" s="41">
        <v>46.205500000000001</v>
      </c>
      <c r="E297" s="41">
        <v>18.705030000000001</v>
      </c>
      <c r="F297" s="116">
        <f>(G297+H297)/2</f>
        <v>5078</v>
      </c>
      <c r="G297" s="27">
        <v>5208</v>
      </c>
      <c r="H297" s="112">
        <v>4948</v>
      </c>
      <c r="I297" s="174" t="s">
        <v>48</v>
      </c>
      <c r="J297" s="2" t="s">
        <v>133</v>
      </c>
      <c r="K297" s="330" t="s">
        <v>3578</v>
      </c>
      <c r="L297" s="17" t="s">
        <v>14</v>
      </c>
      <c r="M297" s="108" t="s">
        <v>3576</v>
      </c>
      <c r="N297" s="230" t="s">
        <v>3577</v>
      </c>
      <c r="O297" s="205" t="s">
        <v>3741</v>
      </c>
    </row>
    <row r="298" spans="1:15" s="45" customFormat="1" ht="15.75" thickBot="1" x14ac:dyDescent="0.3">
      <c r="A298" s="107" t="s">
        <v>564</v>
      </c>
      <c r="B298" s="238" t="s">
        <v>248</v>
      </c>
      <c r="C298" s="252" t="s">
        <v>146</v>
      </c>
      <c r="D298" s="41">
        <v>46.205500000000001</v>
      </c>
      <c r="E298" s="41">
        <v>18.705030000000001</v>
      </c>
      <c r="F298" s="116">
        <f t="shared" ref="F298:F330" si="12">AVERAGE(G298:H298)</f>
        <v>5594</v>
      </c>
      <c r="G298" s="27">
        <v>5641</v>
      </c>
      <c r="H298" s="112">
        <v>5547</v>
      </c>
      <c r="I298" s="174" t="s">
        <v>352</v>
      </c>
      <c r="J298" s="40" t="s">
        <v>133</v>
      </c>
      <c r="K298" s="330" t="s">
        <v>163</v>
      </c>
      <c r="L298" s="17" t="s">
        <v>14</v>
      </c>
      <c r="M298" s="108" t="s">
        <v>716</v>
      </c>
      <c r="N298" s="230" t="s">
        <v>717</v>
      </c>
      <c r="O298" s="205" t="s">
        <v>4210</v>
      </c>
    </row>
    <row r="299" spans="1:15" s="45" customFormat="1" x14ac:dyDescent="0.25">
      <c r="A299" s="107" t="s">
        <v>564</v>
      </c>
      <c r="B299" s="238" t="s">
        <v>248</v>
      </c>
      <c r="C299" s="252" t="s">
        <v>146</v>
      </c>
      <c r="D299" s="41">
        <v>46.205500000000001</v>
      </c>
      <c r="E299" s="41">
        <v>18.705030000000001</v>
      </c>
      <c r="F299" s="116">
        <f t="shared" si="12"/>
        <v>5749.5</v>
      </c>
      <c r="G299" s="27">
        <v>5832</v>
      </c>
      <c r="H299" s="112">
        <v>5667</v>
      </c>
      <c r="I299" s="97" t="s">
        <v>713</v>
      </c>
      <c r="J299" s="40" t="s">
        <v>264</v>
      </c>
      <c r="K299" s="330" t="s">
        <v>163</v>
      </c>
      <c r="L299" s="17" t="s">
        <v>14</v>
      </c>
      <c r="M299" s="108" t="s">
        <v>714</v>
      </c>
      <c r="N299" s="230" t="s">
        <v>715</v>
      </c>
      <c r="O299" s="205" t="s">
        <v>4209</v>
      </c>
    </row>
    <row r="300" spans="1:15" s="45" customFormat="1" ht="15.75" thickBot="1" x14ac:dyDescent="0.3">
      <c r="A300" s="107" t="s">
        <v>564</v>
      </c>
      <c r="B300" s="238" t="s">
        <v>565</v>
      </c>
      <c r="C300" s="252" t="s">
        <v>146</v>
      </c>
      <c r="D300" s="41">
        <v>45.993000000000002</v>
      </c>
      <c r="E300" s="41">
        <v>18.58127</v>
      </c>
      <c r="F300" s="116">
        <f t="shared" si="12"/>
        <v>5650</v>
      </c>
      <c r="G300" s="27">
        <v>5800</v>
      </c>
      <c r="H300" s="112">
        <v>5500</v>
      </c>
      <c r="I300" s="97" t="s">
        <v>566</v>
      </c>
      <c r="J300" s="40" t="s">
        <v>567</v>
      </c>
      <c r="K300" s="330" t="s">
        <v>163</v>
      </c>
      <c r="L300" s="17" t="s">
        <v>14</v>
      </c>
      <c r="M300" s="108" t="s">
        <v>568</v>
      </c>
      <c r="N300" s="230" t="s">
        <v>569</v>
      </c>
      <c r="O300" s="205" t="s">
        <v>4208</v>
      </c>
    </row>
    <row r="301" spans="1:15" s="45" customFormat="1" ht="15.75" thickBot="1" x14ac:dyDescent="0.3">
      <c r="A301" s="107" t="s">
        <v>564</v>
      </c>
      <c r="B301" s="238" t="s">
        <v>570</v>
      </c>
      <c r="C301" s="252" t="s">
        <v>146</v>
      </c>
      <c r="D301" s="41">
        <v>47.559165</v>
      </c>
      <c r="E301" s="41">
        <v>20.721246000000001</v>
      </c>
      <c r="F301" s="116">
        <f t="shared" si="12"/>
        <v>5641.5</v>
      </c>
      <c r="G301" s="27">
        <v>5736</v>
      </c>
      <c r="H301" s="112">
        <v>5547</v>
      </c>
      <c r="I301" s="174" t="s">
        <v>83</v>
      </c>
      <c r="J301" s="40" t="s">
        <v>516</v>
      </c>
      <c r="K301" s="330" t="s">
        <v>571</v>
      </c>
      <c r="L301" s="17" t="s">
        <v>14</v>
      </c>
      <c r="M301" s="108" t="s">
        <v>572</v>
      </c>
      <c r="N301" s="239" t="s">
        <v>3689</v>
      </c>
      <c r="O301" s="208" t="s">
        <v>573</v>
      </c>
    </row>
    <row r="302" spans="1:15" s="45" customFormat="1" x14ac:dyDescent="0.25">
      <c r="A302" s="107" t="s">
        <v>564</v>
      </c>
      <c r="B302" s="537" t="s">
        <v>570</v>
      </c>
      <c r="C302" s="252" t="s">
        <v>146</v>
      </c>
      <c r="D302" s="41">
        <v>47.559165</v>
      </c>
      <c r="E302" s="41">
        <v>20.721246000000001</v>
      </c>
      <c r="F302" s="116">
        <f t="shared" si="12"/>
        <v>5750</v>
      </c>
      <c r="G302" s="27">
        <v>6000</v>
      </c>
      <c r="H302" s="112">
        <v>5500</v>
      </c>
      <c r="I302" s="217" t="s">
        <v>1062</v>
      </c>
      <c r="J302" s="40" t="s">
        <v>69</v>
      </c>
      <c r="K302" s="328" t="s">
        <v>3732</v>
      </c>
      <c r="L302" s="17" t="s">
        <v>2</v>
      </c>
      <c r="M302" s="108" t="s">
        <v>3728</v>
      </c>
      <c r="N302" s="239" t="s">
        <v>3729</v>
      </c>
      <c r="O302" s="208" t="s">
        <v>3731</v>
      </c>
    </row>
    <row r="303" spans="1:15" s="45" customFormat="1" x14ac:dyDescent="0.25">
      <c r="A303" s="107" t="s">
        <v>564</v>
      </c>
      <c r="B303" s="535" t="s">
        <v>3594</v>
      </c>
      <c r="C303" s="252" t="s">
        <v>146</v>
      </c>
      <c r="D303" s="192">
        <v>47.178840999999998</v>
      </c>
      <c r="E303" s="192">
        <v>19.860514999999999</v>
      </c>
      <c r="F303" s="116">
        <f t="shared" si="12"/>
        <v>5100</v>
      </c>
      <c r="G303" s="241">
        <v>5300</v>
      </c>
      <c r="H303" s="241">
        <v>4900</v>
      </c>
      <c r="I303" s="111" t="s">
        <v>614</v>
      </c>
      <c r="J303" s="2" t="s">
        <v>335</v>
      </c>
      <c r="K303" s="87" t="s">
        <v>3593</v>
      </c>
      <c r="L303" s="17" t="s">
        <v>14</v>
      </c>
      <c r="M303" s="87" t="s">
        <v>3589</v>
      </c>
      <c r="N303" s="643" t="s">
        <v>3690</v>
      </c>
      <c r="O303" s="205" t="s">
        <v>3590</v>
      </c>
    </row>
    <row r="304" spans="1:15" s="45" customFormat="1" x14ac:dyDescent="0.25">
      <c r="A304" s="107" t="s">
        <v>564</v>
      </c>
      <c r="B304" s="535" t="s">
        <v>3595</v>
      </c>
      <c r="C304" s="252" t="s">
        <v>146</v>
      </c>
      <c r="D304" s="192">
        <v>47.178840999999998</v>
      </c>
      <c r="E304" s="192">
        <v>19.860514999999999</v>
      </c>
      <c r="F304" s="116">
        <f t="shared" si="12"/>
        <v>5100</v>
      </c>
      <c r="G304" s="241">
        <v>5300</v>
      </c>
      <c r="H304" s="241">
        <v>4900</v>
      </c>
      <c r="I304" s="111" t="s">
        <v>144</v>
      </c>
      <c r="J304" s="2" t="s">
        <v>69</v>
      </c>
      <c r="K304" s="87" t="s">
        <v>3593</v>
      </c>
      <c r="L304" s="17" t="s">
        <v>2</v>
      </c>
      <c r="M304" s="87" t="s">
        <v>3591</v>
      </c>
      <c r="N304" s="643" t="s">
        <v>3691</v>
      </c>
      <c r="O304" s="205" t="s">
        <v>3592</v>
      </c>
    </row>
    <row r="305" spans="1:15" s="45" customFormat="1" ht="15.75" thickBot="1" x14ac:dyDescent="0.3">
      <c r="A305" s="107" t="s">
        <v>564</v>
      </c>
      <c r="B305" s="535" t="s">
        <v>3723</v>
      </c>
      <c r="C305" s="252" t="s">
        <v>146</v>
      </c>
      <c r="D305" s="17">
        <v>47.178840999999998</v>
      </c>
      <c r="E305" s="17">
        <v>19.860514999999999</v>
      </c>
      <c r="F305" s="116">
        <f t="shared" si="12"/>
        <v>5100</v>
      </c>
      <c r="G305" s="241">
        <v>5300</v>
      </c>
      <c r="H305" s="241">
        <v>4900</v>
      </c>
      <c r="I305" s="111" t="s">
        <v>18</v>
      </c>
      <c r="J305" s="2" t="s">
        <v>335</v>
      </c>
      <c r="K305" s="325" t="s">
        <v>3593</v>
      </c>
      <c r="L305" s="17" t="s">
        <v>14</v>
      </c>
      <c r="M305" s="87" t="s">
        <v>3720</v>
      </c>
      <c r="N305" s="643" t="s">
        <v>3722</v>
      </c>
      <c r="O305" s="205" t="s">
        <v>3721</v>
      </c>
    </row>
    <row r="306" spans="1:15" s="45" customFormat="1" ht="15.75" thickBot="1" x14ac:dyDescent="0.3">
      <c r="A306" s="107" t="s">
        <v>564</v>
      </c>
      <c r="B306" s="535" t="s">
        <v>3611</v>
      </c>
      <c r="C306" s="252" t="s">
        <v>146</v>
      </c>
      <c r="D306" s="532">
        <v>47.477645000000003</v>
      </c>
      <c r="E306" s="532">
        <v>21.503001000000001</v>
      </c>
      <c r="F306" s="116">
        <f t="shared" si="12"/>
        <v>5100</v>
      </c>
      <c r="G306" s="241">
        <v>5300</v>
      </c>
      <c r="H306" s="241">
        <v>4900</v>
      </c>
      <c r="I306" s="175" t="s">
        <v>6</v>
      </c>
      <c r="J306" s="2" t="s">
        <v>69</v>
      </c>
      <c r="K306" s="87" t="s">
        <v>3596</v>
      </c>
      <c r="L306" s="17" t="s">
        <v>2</v>
      </c>
      <c r="M306" s="87" t="s">
        <v>3599</v>
      </c>
      <c r="N306" s="643" t="s">
        <v>3692</v>
      </c>
      <c r="O306" s="205" t="s">
        <v>3600</v>
      </c>
    </row>
    <row r="307" spans="1:15" s="45" customFormat="1" x14ac:dyDescent="0.25">
      <c r="A307" s="107" t="s">
        <v>564</v>
      </c>
      <c r="B307" s="535" t="s">
        <v>3612</v>
      </c>
      <c r="C307" s="252" t="s">
        <v>146</v>
      </c>
      <c r="D307" s="532">
        <v>47.480426000000001</v>
      </c>
      <c r="E307" s="532">
        <v>21.501857999999999</v>
      </c>
      <c r="F307" s="116">
        <f t="shared" si="12"/>
        <v>5100</v>
      </c>
      <c r="G307" s="241">
        <v>5300</v>
      </c>
      <c r="H307" s="241">
        <v>4900</v>
      </c>
      <c r="I307" s="111" t="s">
        <v>2399</v>
      </c>
      <c r="J307" s="2" t="s">
        <v>863</v>
      </c>
      <c r="K307" s="87" t="s">
        <v>3596</v>
      </c>
      <c r="L307" s="17" t="s">
        <v>14</v>
      </c>
      <c r="M307" s="87" t="s">
        <v>3601</v>
      </c>
      <c r="N307" s="643" t="s">
        <v>3693</v>
      </c>
      <c r="O307" s="205" t="s">
        <v>3602</v>
      </c>
    </row>
    <row r="308" spans="1:15" s="45" customFormat="1" ht="15.75" thickBot="1" x14ac:dyDescent="0.3">
      <c r="A308" s="107" t="s">
        <v>564</v>
      </c>
      <c r="B308" s="535" t="s">
        <v>3613</v>
      </c>
      <c r="C308" s="252" t="s">
        <v>146</v>
      </c>
      <c r="D308" s="532">
        <v>47.857550000000003</v>
      </c>
      <c r="E308" s="532">
        <v>21.432390000000002</v>
      </c>
      <c r="F308" s="116">
        <f t="shared" si="12"/>
        <v>5110.5</v>
      </c>
      <c r="G308" s="241">
        <v>5221</v>
      </c>
      <c r="H308" s="241">
        <v>5000</v>
      </c>
      <c r="I308" s="111" t="s">
        <v>614</v>
      </c>
      <c r="J308" s="2" t="s">
        <v>80</v>
      </c>
      <c r="K308" s="87" t="s">
        <v>3597</v>
      </c>
      <c r="L308" s="17" t="s">
        <v>14</v>
      </c>
      <c r="M308" s="87" t="s">
        <v>3603</v>
      </c>
      <c r="N308" s="643" t="s">
        <v>3694</v>
      </c>
      <c r="O308" s="205" t="s">
        <v>3604</v>
      </c>
    </row>
    <row r="309" spans="1:15" s="45" customFormat="1" ht="15.75" thickBot="1" x14ac:dyDescent="0.3">
      <c r="A309" s="107" t="s">
        <v>564</v>
      </c>
      <c r="B309" s="535" t="s">
        <v>3613</v>
      </c>
      <c r="C309" s="252" t="s">
        <v>146</v>
      </c>
      <c r="D309" s="532">
        <v>47.857550000000003</v>
      </c>
      <c r="E309" s="532">
        <v>21.432390000000002</v>
      </c>
      <c r="F309" s="116">
        <f t="shared" si="12"/>
        <v>5179.5</v>
      </c>
      <c r="G309" s="241">
        <v>5302</v>
      </c>
      <c r="H309" s="241">
        <v>5057</v>
      </c>
      <c r="I309" s="175" t="s">
        <v>3615</v>
      </c>
      <c r="J309" s="2" t="s">
        <v>320</v>
      </c>
      <c r="K309" s="87" t="s">
        <v>3597</v>
      </c>
      <c r="L309" s="17" t="s">
        <v>14</v>
      </c>
      <c r="M309" s="87" t="s">
        <v>3605</v>
      </c>
      <c r="N309" s="643" t="s">
        <v>3695</v>
      </c>
      <c r="O309" s="205" t="s">
        <v>3606</v>
      </c>
    </row>
    <row r="310" spans="1:15" s="45" customFormat="1" x14ac:dyDescent="0.25">
      <c r="A310" s="107" t="s">
        <v>564</v>
      </c>
      <c r="B310" s="535" t="s">
        <v>3613</v>
      </c>
      <c r="C310" s="252" t="s">
        <v>146</v>
      </c>
      <c r="D310" s="532">
        <v>47.857550000000003</v>
      </c>
      <c r="E310" s="532">
        <v>21.432390000000002</v>
      </c>
      <c r="F310" s="116">
        <f t="shared" si="12"/>
        <v>5100</v>
      </c>
      <c r="G310" s="241">
        <v>5300</v>
      </c>
      <c r="H310" s="241">
        <v>4900</v>
      </c>
      <c r="I310" s="111" t="s">
        <v>884</v>
      </c>
      <c r="J310" s="2" t="s">
        <v>769</v>
      </c>
      <c r="K310" s="87" t="s">
        <v>3597</v>
      </c>
      <c r="L310" s="17" t="s">
        <v>14</v>
      </c>
      <c r="M310" s="87" t="s">
        <v>3724</v>
      </c>
      <c r="N310" s="643" t="s">
        <v>3725</v>
      </c>
      <c r="O310" s="205" t="s">
        <v>3726</v>
      </c>
    </row>
    <row r="311" spans="1:15" s="45" customFormat="1" x14ac:dyDescent="0.25">
      <c r="A311" s="107" t="s">
        <v>564</v>
      </c>
      <c r="B311" s="535" t="s">
        <v>3614</v>
      </c>
      <c r="C311" s="252" t="s">
        <v>146</v>
      </c>
      <c r="D311" s="532">
        <v>47.860709999999997</v>
      </c>
      <c r="E311" s="532">
        <v>21.000579999999999</v>
      </c>
      <c r="F311" s="116">
        <f t="shared" si="12"/>
        <v>5060.5</v>
      </c>
      <c r="G311" s="241">
        <v>5209</v>
      </c>
      <c r="H311" s="241">
        <v>4912</v>
      </c>
      <c r="I311" s="111" t="s">
        <v>128</v>
      </c>
      <c r="J311" s="2" t="s">
        <v>433</v>
      </c>
      <c r="K311" s="87" t="s">
        <v>3598</v>
      </c>
      <c r="L311" s="17" t="s">
        <v>14</v>
      </c>
      <c r="M311" s="87" t="s">
        <v>3607</v>
      </c>
      <c r="N311" s="643" t="s">
        <v>3696</v>
      </c>
      <c r="O311" s="205" t="s">
        <v>3608</v>
      </c>
    </row>
    <row r="312" spans="1:15" s="45" customFormat="1" x14ac:dyDescent="0.25">
      <c r="A312" s="107" t="s">
        <v>564</v>
      </c>
      <c r="B312" s="535" t="s">
        <v>3614</v>
      </c>
      <c r="C312" s="252" t="s">
        <v>146</v>
      </c>
      <c r="D312" s="532">
        <v>47.860709999999997</v>
      </c>
      <c r="E312" s="532">
        <v>21.000579999999999</v>
      </c>
      <c r="F312" s="116">
        <f t="shared" si="12"/>
        <v>5100</v>
      </c>
      <c r="G312" s="241">
        <v>5300</v>
      </c>
      <c r="H312" s="241">
        <v>4900</v>
      </c>
      <c r="I312" s="111" t="s">
        <v>835</v>
      </c>
      <c r="J312" s="2" t="s">
        <v>80</v>
      </c>
      <c r="K312" s="87" t="s">
        <v>3598</v>
      </c>
      <c r="L312" s="17" t="s">
        <v>14</v>
      </c>
      <c r="M312" s="87" t="s">
        <v>3609</v>
      </c>
      <c r="N312" s="643" t="s">
        <v>3697</v>
      </c>
      <c r="O312" s="205" t="s">
        <v>3610</v>
      </c>
    </row>
    <row r="313" spans="1:15" s="45" customFormat="1" ht="15.75" thickBot="1" x14ac:dyDescent="0.3">
      <c r="A313" s="107" t="s">
        <v>564</v>
      </c>
      <c r="B313" s="535" t="s">
        <v>3637</v>
      </c>
      <c r="C313" s="252" t="s">
        <v>146</v>
      </c>
      <c r="D313" s="192">
        <v>47.78134</v>
      </c>
      <c r="E313" s="192">
        <v>20.58258</v>
      </c>
      <c r="F313" s="116">
        <f t="shared" si="12"/>
        <v>5400</v>
      </c>
      <c r="G313" s="241">
        <v>5500</v>
      </c>
      <c r="H313" s="241">
        <v>5300</v>
      </c>
      <c r="I313" s="111" t="s">
        <v>835</v>
      </c>
      <c r="J313" s="2" t="s">
        <v>863</v>
      </c>
      <c r="K313" s="87" t="s">
        <v>3638</v>
      </c>
      <c r="L313" s="17" t="s">
        <v>14</v>
      </c>
      <c r="M313" s="87" t="s">
        <v>3631</v>
      </c>
      <c r="N313" s="643" t="s">
        <v>3698</v>
      </c>
      <c r="O313" s="205" t="s">
        <v>3632</v>
      </c>
    </row>
    <row r="314" spans="1:15" s="45" customFormat="1" ht="15.75" thickBot="1" x14ac:dyDescent="0.3">
      <c r="A314" s="107" t="s">
        <v>564</v>
      </c>
      <c r="B314" s="535" t="s">
        <v>3637</v>
      </c>
      <c r="C314" s="252" t="s">
        <v>146</v>
      </c>
      <c r="D314" s="192">
        <v>47.78134</v>
      </c>
      <c r="E314" s="192">
        <v>20.58258</v>
      </c>
      <c r="F314" s="116">
        <f t="shared" si="12"/>
        <v>5400</v>
      </c>
      <c r="G314" s="241">
        <v>5500</v>
      </c>
      <c r="H314" s="241">
        <v>5300</v>
      </c>
      <c r="I314" s="175" t="s">
        <v>787</v>
      </c>
      <c r="J314" s="2" t="s">
        <v>69</v>
      </c>
      <c r="K314" s="87" t="s">
        <v>3638</v>
      </c>
      <c r="L314" s="17" t="s">
        <v>2</v>
      </c>
      <c r="M314" s="87" t="s">
        <v>3633</v>
      </c>
      <c r="N314" s="643" t="s">
        <v>3699</v>
      </c>
      <c r="O314" s="205" t="s">
        <v>3634</v>
      </c>
    </row>
    <row r="315" spans="1:15" s="45" customFormat="1" ht="15.75" thickBot="1" x14ac:dyDescent="0.3">
      <c r="A315" s="107" t="s">
        <v>564</v>
      </c>
      <c r="B315" s="535" t="s">
        <v>3637</v>
      </c>
      <c r="C315" s="252" t="s">
        <v>146</v>
      </c>
      <c r="D315" s="192">
        <v>47.78134</v>
      </c>
      <c r="E315" s="192">
        <v>20.58258</v>
      </c>
      <c r="F315" s="116">
        <f t="shared" si="12"/>
        <v>5421</v>
      </c>
      <c r="G315" s="241">
        <v>5481</v>
      </c>
      <c r="H315" s="241">
        <v>5361</v>
      </c>
      <c r="I315" s="111" t="s">
        <v>32</v>
      </c>
      <c r="J315" s="2" t="s">
        <v>69</v>
      </c>
      <c r="K315" s="328" t="s">
        <v>3620</v>
      </c>
      <c r="L315" s="17" t="s">
        <v>2</v>
      </c>
      <c r="M315" s="87" t="s">
        <v>3635</v>
      </c>
      <c r="N315" s="643" t="s">
        <v>3700</v>
      </c>
      <c r="O315" s="205" t="s">
        <v>3636</v>
      </c>
    </row>
    <row r="316" spans="1:15" s="45" customFormat="1" ht="15.75" thickBot="1" x14ac:dyDescent="0.3">
      <c r="A316" s="107" t="s">
        <v>564</v>
      </c>
      <c r="B316" s="535" t="s">
        <v>3701</v>
      </c>
      <c r="C316" s="252" t="s">
        <v>146</v>
      </c>
      <c r="D316" s="532">
        <v>47.865071</v>
      </c>
      <c r="E316" s="532">
        <v>21.125287</v>
      </c>
      <c r="F316" s="116">
        <f t="shared" si="12"/>
        <v>5100</v>
      </c>
      <c r="G316" s="241">
        <v>5300</v>
      </c>
      <c r="H316" s="241">
        <v>4900</v>
      </c>
      <c r="I316" s="175" t="s">
        <v>787</v>
      </c>
      <c r="J316" s="2" t="s">
        <v>438</v>
      </c>
      <c r="K316" s="87" t="s">
        <v>3706</v>
      </c>
      <c r="L316" s="17" t="s">
        <v>14</v>
      </c>
      <c r="M316" s="87" t="s">
        <v>3659</v>
      </c>
      <c r="N316" s="643" t="s">
        <v>3669</v>
      </c>
      <c r="O316" s="205" t="s">
        <v>3679</v>
      </c>
    </row>
    <row r="317" spans="1:15" s="45" customFormat="1" x14ac:dyDescent="0.25">
      <c r="A317" s="107" t="s">
        <v>564</v>
      </c>
      <c r="B317" s="535" t="s">
        <v>3702</v>
      </c>
      <c r="C317" s="252" t="s">
        <v>146</v>
      </c>
      <c r="D317" s="532">
        <v>47.459249999999997</v>
      </c>
      <c r="E317" s="532">
        <v>20.512820000000001</v>
      </c>
      <c r="F317" s="116">
        <f t="shared" si="12"/>
        <v>5100</v>
      </c>
      <c r="G317" s="241">
        <v>5300</v>
      </c>
      <c r="H317" s="241">
        <v>4900</v>
      </c>
      <c r="I317" s="111" t="s">
        <v>85</v>
      </c>
      <c r="J317" s="2" t="s">
        <v>69</v>
      </c>
      <c r="K317" s="87" t="s">
        <v>3593</v>
      </c>
      <c r="L317" s="17" t="s">
        <v>2</v>
      </c>
      <c r="M317" s="87" t="s">
        <v>3660</v>
      </c>
      <c r="N317" s="643" t="s">
        <v>3670</v>
      </c>
      <c r="O317" s="205" t="s">
        <v>3680</v>
      </c>
    </row>
    <row r="318" spans="1:15" s="45" customFormat="1" x14ac:dyDescent="0.25">
      <c r="A318" s="107" t="s">
        <v>564</v>
      </c>
      <c r="B318" s="535" t="s">
        <v>3702</v>
      </c>
      <c r="C318" s="252" t="s">
        <v>146</v>
      </c>
      <c r="D318" s="532">
        <v>47.459249999999997</v>
      </c>
      <c r="E318" s="532">
        <v>20.512820000000001</v>
      </c>
      <c r="F318" s="116">
        <f t="shared" si="12"/>
        <v>5100</v>
      </c>
      <c r="G318" s="241">
        <v>5300</v>
      </c>
      <c r="H318" s="241">
        <v>4900</v>
      </c>
      <c r="I318" s="111" t="s">
        <v>119</v>
      </c>
      <c r="J318" s="2" t="s">
        <v>69</v>
      </c>
      <c r="K318" s="87" t="s">
        <v>3593</v>
      </c>
      <c r="L318" s="17" t="s">
        <v>2</v>
      </c>
      <c r="M318" s="87" t="s">
        <v>3661</v>
      </c>
      <c r="N318" s="643" t="s">
        <v>3671</v>
      </c>
      <c r="O318" s="205" t="s">
        <v>3681</v>
      </c>
    </row>
    <row r="319" spans="1:15" s="45" customFormat="1" x14ac:dyDescent="0.25">
      <c r="A319" s="107" t="s">
        <v>564</v>
      </c>
      <c r="B319" s="535" t="s">
        <v>3703</v>
      </c>
      <c r="C319" s="252" t="s">
        <v>146</v>
      </c>
      <c r="D319" s="532">
        <v>48.003630000000001</v>
      </c>
      <c r="E319" s="532">
        <v>21.17651</v>
      </c>
      <c r="F319" s="116">
        <f t="shared" si="12"/>
        <v>5075</v>
      </c>
      <c r="G319" s="241">
        <v>5208</v>
      </c>
      <c r="H319" s="241">
        <v>4942</v>
      </c>
      <c r="I319" s="111" t="s">
        <v>41</v>
      </c>
      <c r="J319" s="2" t="s">
        <v>438</v>
      </c>
      <c r="K319" s="87" t="s">
        <v>3707</v>
      </c>
      <c r="L319" s="17" t="s">
        <v>14</v>
      </c>
      <c r="M319" s="87" t="s">
        <v>3662</v>
      </c>
      <c r="N319" s="643" t="s">
        <v>3672</v>
      </c>
      <c r="O319" s="205" t="s">
        <v>3682</v>
      </c>
    </row>
    <row r="320" spans="1:15" s="45" customFormat="1" x14ac:dyDescent="0.25">
      <c r="A320" s="107" t="s">
        <v>564</v>
      </c>
      <c r="B320" s="535" t="s">
        <v>3703</v>
      </c>
      <c r="C320" s="252" t="s">
        <v>146</v>
      </c>
      <c r="D320" s="532">
        <v>48.003630000000001</v>
      </c>
      <c r="E320" s="532">
        <v>21.17651</v>
      </c>
      <c r="F320" s="116">
        <f t="shared" si="12"/>
        <v>5100</v>
      </c>
      <c r="G320" s="241">
        <v>5300</v>
      </c>
      <c r="H320" s="241">
        <v>4900</v>
      </c>
      <c r="I320" s="111" t="s">
        <v>301</v>
      </c>
      <c r="J320" s="2" t="s">
        <v>3709</v>
      </c>
      <c r="K320" s="87" t="s">
        <v>3707</v>
      </c>
      <c r="L320" s="17" t="s">
        <v>14</v>
      </c>
      <c r="M320" s="87" t="s">
        <v>3663</v>
      </c>
      <c r="N320" s="643" t="s">
        <v>3673</v>
      </c>
      <c r="O320" s="205" t="s">
        <v>3683</v>
      </c>
    </row>
    <row r="321" spans="1:15" s="45" customFormat="1" x14ac:dyDescent="0.25">
      <c r="A321" s="107" t="s">
        <v>564</v>
      </c>
      <c r="B321" s="535" t="s">
        <v>3703</v>
      </c>
      <c r="C321" s="252" t="s">
        <v>146</v>
      </c>
      <c r="D321" s="532">
        <v>48.003630000000001</v>
      </c>
      <c r="E321" s="532">
        <v>21.17651</v>
      </c>
      <c r="F321" s="116">
        <f t="shared" si="12"/>
        <v>5100</v>
      </c>
      <c r="G321" s="241">
        <v>5300</v>
      </c>
      <c r="H321" s="241">
        <v>4900</v>
      </c>
      <c r="I321" s="111" t="s">
        <v>1560</v>
      </c>
      <c r="J321" s="2" t="s">
        <v>69</v>
      </c>
      <c r="K321" s="87" t="s">
        <v>3707</v>
      </c>
      <c r="L321" s="17" t="s">
        <v>2</v>
      </c>
      <c r="M321" s="87" t="s">
        <v>3664</v>
      </c>
      <c r="N321" s="643" t="s">
        <v>3674</v>
      </c>
      <c r="O321" s="205" t="s">
        <v>3684</v>
      </c>
    </row>
    <row r="322" spans="1:15" s="45" customFormat="1" ht="15.75" thickBot="1" x14ac:dyDescent="0.3">
      <c r="A322" s="107" t="s">
        <v>564</v>
      </c>
      <c r="B322" s="535" t="s">
        <v>3703</v>
      </c>
      <c r="C322" s="252" t="s">
        <v>146</v>
      </c>
      <c r="D322" s="532">
        <v>48.003630000000001</v>
      </c>
      <c r="E322" s="532">
        <v>21.17651</v>
      </c>
      <c r="F322" s="116">
        <f t="shared" si="12"/>
        <v>5250</v>
      </c>
      <c r="G322" s="241">
        <v>5500</v>
      </c>
      <c r="H322" s="241">
        <v>5000</v>
      </c>
      <c r="I322" s="111" t="s">
        <v>3733</v>
      </c>
      <c r="J322" s="2" t="s">
        <v>18</v>
      </c>
      <c r="K322" s="87" t="s">
        <v>3707</v>
      </c>
      <c r="L322" s="17" t="s">
        <v>14</v>
      </c>
      <c r="M322" s="87" t="s">
        <v>3727</v>
      </c>
      <c r="N322" s="643" t="s">
        <v>3674</v>
      </c>
      <c r="O322" s="205" t="s">
        <v>3730</v>
      </c>
    </row>
    <row r="323" spans="1:15" s="45" customFormat="1" ht="15.75" thickBot="1" x14ac:dyDescent="0.3">
      <c r="A323" s="107" t="s">
        <v>564</v>
      </c>
      <c r="B323" s="535" t="s">
        <v>3704</v>
      </c>
      <c r="C323" s="252" t="s">
        <v>146</v>
      </c>
      <c r="D323" s="532">
        <v>45.596899999999998</v>
      </c>
      <c r="E323" s="532">
        <v>18.28247</v>
      </c>
      <c r="F323" s="116">
        <f t="shared" si="12"/>
        <v>5200</v>
      </c>
      <c r="G323" s="241">
        <v>5320</v>
      </c>
      <c r="H323" s="241">
        <v>5080</v>
      </c>
      <c r="I323" s="175" t="s">
        <v>733</v>
      </c>
      <c r="J323" s="2" t="s">
        <v>3710</v>
      </c>
      <c r="K323" s="328" t="s">
        <v>3708</v>
      </c>
      <c r="L323" s="17" t="s">
        <v>14</v>
      </c>
      <c r="M323" s="87" t="s">
        <v>3665</v>
      </c>
      <c r="N323" s="643" t="s">
        <v>3675</v>
      </c>
      <c r="O323" s="205" t="s">
        <v>3685</v>
      </c>
    </row>
    <row r="324" spans="1:15" s="45" customFormat="1" ht="15.75" thickBot="1" x14ac:dyDescent="0.3">
      <c r="A324" s="107" t="s">
        <v>564</v>
      </c>
      <c r="B324" s="535" t="s">
        <v>3704</v>
      </c>
      <c r="C324" s="252" t="s">
        <v>146</v>
      </c>
      <c r="D324" s="532">
        <v>45.596899999999998</v>
      </c>
      <c r="E324" s="532">
        <v>18.28247</v>
      </c>
      <c r="F324" s="116">
        <f t="shared" si="12"/>
        <v>5201</v>
      </c>
      <c r="G324" s="241">
        <v>5321</v>
      </c>
      <c r="H324" s="241">
        <v>5081</v>
      </c>
      <c r="I324" s="111" t="s">
        <v>122</v>
      </c>
      <c r="J324" s="2" t="s">
        <v>69</v>
      </c>
      <c r="K324" s="328" t="s">
        <v>3708</v>
      </c>
      <c r="L324" s="17" t="s">
        <v>2</v>
      </c>
      <c r="M324" s="87" t="s">
        <v>3666</v>
      </c>
      <c r="N324" s="643" t="s">
        <v>3676</v>
      </c>
      <c r="O324" s="205" t="s">
        <v>3686</v>
      </c>
    </row>
    <row r="325" spans="1:15" s="45" customFormat="1" ht="15.75" thickBot="1" x14ac:dyDescent="0.3">
      <c r="A325" s="107" t="s">
        <v>564</v>
      </c>
      <c r="B325" s="535" t="s">
        <v>3704</v>
      </c>
      <c r="C325" s="252" t="s">
        <v>146</v>
      </c>
      <c r="D325" s="532">
        <v>45.596899999999998</v>
      </c>
      <c r="E325" s="532">
        <v>18.28247</v>
      </c>
      <c r="F325" s="116">
        <f t="shared" si="12"/>
        <v>5026.5</v>
      </c>
      <c r="G325" s="241">
        <v>5202</v>
      </c>
      <c r="H325" s="241">
        <v>4851</v>
      </c>
      <c r="I325" s="175" t="s">
        <v>126</v>
      </c>
      <c r="J325" s="2" t="s">
        <v>590</v>
      </c>
      <c r="K325" s="328" t="s">
        <v>3708</v>
      </c>
      <c r="L325" s="17" t="s">
        <v>14</v>
      </c>
      <c r="M325" s="87" t="s">
        <v>3736</v>
      </c>
      <c r="N325" s="643" t="s">
        <v>3735</v>
      </c>
      <c r="O325" s="205" t="s">
        <v>3734</v>
      </c>
    </row>
    <row r="326" spans="1:15" s="45" customFormat="1" x14ac:dyDescent="0.25">
      <c r="A326" s="107" t="s">
        <v>564</v>
      </c>
      <c r="B326" s="535" t="s">
        <v>3705</v>
      </c>
      <c r="C326" s="252" t="s">
        <v>146</v>
      </c>
      <c r="D326" s="532">
        <v>45.585299999999997</v>
      </c>
      <c r="E326" s="532">
        <v>18.30771</v>
      </c>
      <c r="F326" s="116">
        <f t="shared" si="12"/>
        <v>5200</v>
      </c>
      <c r="G326" s="241">
        <v>5400</v>
      </c>
      <c r="H326" s="241">
        <v>5000</v>
      </c>
      <c r="I326" s="111" t="s">
        <v>1292</v>
      </c>
      <c r="J326" s="2" t="s">
        <v>69</v>
      </c>
      <c r="K326" s="328" t="s">
        <v>3708</v>
      </c>
      <c r="L326" s="17" t="s">
        <v>2</v>
      </c>
      <c r="M326" s="87" t="s">
        <v>3667</v>
      </c>
      <c r="N326" s="643" t="s">
        <v>3677</v>
      </c>
      <c r="O326" s="205" t="s">
        <v>3687</v>
      </c>
    </row>
    <row r="327" spans="1:15" s="45" customFormat="1" x14ac:dyDescent="0.25">
      <c r="A327" s="107" t="s">
        <v>564</v>
      </c>
      <c r="B327" s="535" t="s">
        <v>3705</v>
      </c>
      <c r="C327" s="252" t="s">
        <v>146</v>
      </c>
      <c r="D327" s="532">
        <v>45.585299999999997</v>
      </c>
      <c r="E327" s="532">
        <v>18.30771</v>
      </c>
      <c r="F327" s="116">
        <f t="shared" si="12"/>
        <v>5200</v>
      </c>
      <c r="G327" s="241">
        <v>5400</v>
      </c>
      <c r="H327" s="241">
        <v>5000</v>
      </c>
      <c r="I327" s="111" t="s">
        <v>7</v>
      </c>
      <c r="J327" s="2" t="s">
        <v>264</v>
      </c>
      <c r="K327" s="328" t="s">
        <v>3708</v>
      </c>
      <c r="L327" s="17" t="s">
        <v>14</v>
      </c>
      <c r="M327" s="87" t="s">
        <v>3668</v>
      </c>
      <c r="N327" s="643" t="s">
        <v>3678</v>
      </c>
      <c r="O327" s="205" t="s">
        <v>3688</v>
      </c>
    </row>
    <row r="328" spans="1:15" s="45" customFormat="1" x14ac:dyDescent="0.25">
      <c r="A328" s="107" t="s">
        <v>564</v>
      </c>
      <c r="B328" s="205" t="s">
        <v>3705</v>
      </c>
      <c r="C328" s="252" t="s">
        <v>146</v>
      </c>
      <c r="D328" s="532">
        <v>45.585299999999997</v>
      </c>
      <c r="E328" s="532">
        <v>18.30771</v>
      </c>
      <c r="F328" s="116">
        <f t="shared" si="12"/>
        <v>5291.5</v>
      </c>
      <c r="G328" s="241">
        <v>5359</v>
      </c>
      <c r="H328" s="241">
        <v>5224</v>
      </c>
      <c r="I328" s="111" t="s">
        <v>884</v>
      </c>
      <c r="J328" s="2" t="s">
        <v>69</v>
      </c>
      <c r="K328" s="328" t="s">
        <v>3708</v>
      </c>
      <c r="L328" s="17" t="s">
        <v>2</v>
      </c>
      <c r="M328" s="87" t="s">
        <v>3748</v>
      </c>
      <c r="N328" s="643" t="s">
        <v>3749</v>
      </c>
      <c r="O328" s="205" t="s">
        <v>3750</v>
      </c>
    </row>
    <row r="329" spans="1:15" s="45" customFormat="1" ht="15.75" thickBot="1" x14ac:dyDescent="0.3">
      <c r="A329" s="107" t="s">
        <v>564</v>
      </c>
      <c r="B329" s="238" t="s">
        <v>3585</v>
      </c>
      <c r="C329" s="252" t="s">
        <v>146</v>
      </c>
      <c r="D329" s="532">
        <v>46.208562000000001</v>
      </c>
      <c r="E329" s="532">
        <v>18.700047000000001</v>
      </c>
      <c r="F329" s="116">
        <f t="shared" si="12"/>
        <v>5191.5</v>
      </c>
      <c r="G329" s="27">
        <v>5309</v>
      </c>
      <c r="H329" s="112">
        <v>5074</v>
      </c>
      <c r="I329" s="111" t="s">
        <v>138</v>
      </c>
      <c r="J329" s="2" t="s">
        <v>2846</v>
      </c>
      <c r="K329" s="328" t="s">
        <v>3578</v>
      </c>
      <c r="L329" s="17" t="s">
        <v>14</v>
      </c>
      <c r="M329" s="325" t="s">
        <v>3583</v>
      </c>
      <c r="N329" s="643" t="s">
        <v>3656</v>
      </c>
      <c r="O329" s="205" t="s">
        <v>3584</v>
      </c>
    </row>
    <row r="330" spans="1:15" s="45" customFormat="1" ht="15.75" thickBot="1" x14ac:dyDescent="0.3">
      <c r="A330" s="107" t="s">
        <v>564</v>
      </c>
      <c r="B330" s="238" t="s">
        <v>577</v>
      </c>
      <c r="C330" s="252" t="s">
        <v>146</v>
      </c>
      <c r="D330" s="41">
        <v>47.191611999999999</v>
      </c>
      <c r="E330" s="41">
        <v>20.402331</v>
      </c>
      <c r="F330" s="116">
        <f t="shared" si="12"/>
        <v>5623.5</v>
      </c>
      <c r="G330" s="27">
        <v>5706</v>
      </c>
      <c r="H330" s="112">
        <v>5541</v>
      </c>
      <c r="I330" s="174" t="s">
        <v>6</v>
      </c>
      <c r="J330" s="40" t="s">
        <v>69</v>
      </c>
      <c r="K330" s="330" t="s">
        <v>571</v>
      </c>
      <c r="L330" s="17" t="s">
        <v>2</v>
      </c>
      <c r="M330" s="108" t="s">
        <v>578</v>
      </c>
      <c r="N330" s="239" t="s">
        <v>3657</v>
      </c>
      <c r="O330" s="208" t="s">
        <v>579</v>
      </c>
    </row>
    <row r="331" spans="1:15" s="45" customFormat="1" ht="15.75" thickBot="1" x14ac:dyDescent="0.3">
      <c r="A331" s="107" t="s">
        <v>3753</v>
      </c>
      <c r="B331" s="205" t="s">
        <v>3754</v>
      </c>
      <c r="C331" s="389" t="s">
        <v>146</v>
      </c>
      <c r="D331" s="90">
        <v>47.867938100000003</v>
      </c>
      <c r="E331" s="90">
        <v>21.114103799999999</v>
      </c>
      <c r="F331" s="322">
        <v>5207.5</v>
      </c>
      <c r="G331" s="321">
        <v>5330</v>
      </c>
      <c r="H331" s="321">
        <v>5085</v>
      </c>
      <c r="I331" s="174" t="s">
        <v>83</v>
      </c>
      <c r="J331" s="45" t="s">
        <v>69</v>
      </c>
      <c r="K331" s="418" t="s">
        <v>3758</v>
      </c>
      <c r="L331" s="17" t="s">
        <v>2</v>
      </c>
      <c r="M331" s="108" t="s">
        <v>3756</v>
      </c>
      <c r="N331" s="644">
        <v>9</v>
      </c>
      <c r="O331" s="205" t="s">
        <v>3759</v>
      </c>
    </row>
    <row r="332" spans="1:15" s="45" customFormat="1" ht="15.75" thickBot="1" x14ac:dyDescent="0.3">
      <c r="A332" s="107" t="s">
        <v>3753</v>
      </c>
      <c r="B332" s="205" t="s">
        <v>3755</v>
      </c>
      <c r="C332" s="389" t="s">
        <v>146</v>
      </c>
      <c r="D332" s="90">
        <v>47.867938100000003</v>
      </c>
      <c r="E332" s="90">
        <v>21.114103799999999</v>
      </c>
      <c r="F332" s="322">
        <v>5207.5</v>
      </c>
      <c r="G332" s="321">
        <v>5330</v>
      </c>
      <c r="H332" s="321">
        <v>5085</v>
      </c>
      <c r="I332" s="174" t="s">
        <v>126</v>
      </c>
      <c r="J332" s="45" t="s">
        <v>69</v>
      </c>
      <c r="K332" s="418" t="s">
        <v>3758</v>
      </c>
      <c r="L332" s="17" t="s">
        <v>14</v>
      </c>
      <c r="M332" s="108" t="s">
        <v>3757</v>
      </c>
      <c r="N332" s="329">
        <v>10</v>
      </c>
      <c r="O332" s="248" t="s">
        <v>3760</v>
      </c>
    </row>
    <row r="333" spans="1:15" s="2" customFormat="1" x14ac:dyDescent="0.25">
      <c r="A333" s="87" t="s">
        <v>2504</v>
      </c>
      <c r="B333" s="538" t="s">
        <v>2539</v>
      </c>
      <c r="C333" s="389" t="s">
        <v>146</v>
      </c>
      <c r="D333" s="539">
        <v>46.250999999999998</v>
      </c>
      <c r="E333" s="539">
        <v>20.259</v>
      </c>
      <c r="F333" s="540">
        <v>5852.5</v>
      </c>
      <c r="G333" s="539">
        <v>5974</v>
      </c>
      <c r="H333" s="539">
        <v>5731</v>
      </c>
      <c r="I333" s="132" t="s">
        <v>730</v>
      </c>
      <c r="J333" s="598" t="s">
        <v>69</v>
      </c>
      <c r="K333" s="599" t="s">
        <v>2537</v>
      </c>
      <c r="L333" s="17" t="s">
        <v>2</v>
      </c>
      <c r="M333" s="600" t="s">
        <v>2532</v>
      </c>
      <c r="N333" s="209" t="s">
        <v>2533</v>
      </c>
      <c r="O333" s="205"/>
    </row>
    <row r="334" spans="1:15" s="2" customFormat="1" x14ac:dyDescent="0.25">
      <c r="A334" s="87" t="s">
        <v>2504</v>
      </c>
      <c r="B334" s="538" t="s">
        <v>2540</v>
      </c>
      <c r="C334" s="389" t="s">
        <v>146</v>
      </c>
      <c r="D334" s="539">
        <v>46.417999999999999</v>
      </c>
      <c r="E334" s="539">
        <v>20.329999999999998</v>
      </c>
      <c r="F334" s="540">
        <v>5642</v>
      </c>
      <c r="G334" s="539">
        <v>5722</v>
      </c>
      <c r="H334" s="539">
        <v>5562</v>
      </c>
      <c r="I334" s="132" t="s">
        <v>625</v>
      </c>
      <c r="J334" s="598" t="s">
        <v>69</v>
      </c>
      <c r="K334" s="599" t="s">
        <v>2537</v>
      </c>
      <c r="L334" s="17" t="s">
        <v>2</v>
      </c>
      <c r="M334" s="600" t="s">
        <v>2534</v>
      </c>
      <c r="N334" s="209" t="s">
        <v>2535</v>
      </c>
      <c r="O334" s="205"/>
    </row>
    <row r="335" spans="1:15" s="2" customFormat="1" x14ac:dyDescent="0.25">
      <c r="A335" s="87" t="s">
        <v>4206</v>
      </c>
      <c r="B335" s="538" t="s">
        <v>2799</v>
      </c>
      <c r="C335" s="389" t="s">
        <v>146</v>
      </c>
      <c r="D335" s="541">
        <f>46+(12+8.93/60)/60</f>
        <v>46.202480555555553</v>
      </c>
      <c r="E335" s="541">
        <f>18+(44+25.12/60)/60</f>
        <v>18.740311111111112</v>
      </c>
      <c r="F335" s="540">
        <f>(G335+H335)/2</f>
        <v>5500</v>
      </c>
      <c r="G335" s="539">
        <v>5750</v>
      </c>
      <c r="H335" s="539">
        <v>5250</v>
      </c>
      <c r="I335" s="132" t="s">
        <v>2795</v>
      </c>
      <c r="J335" s="598" t="s">
        <v>865</v>
      </c>
      <c r="K335" s="601" t="s">
        <v>2798</v>
      </c>
      <c r="L335" s="17" t="s">
        <v>14</v>
      </c>
      <c r="M335" s="600" t="s">
        <v>2796</v>
      </c>
      <c r="N335" s="209" t="s">
        <v>2797</v>
      </c>
      <c r="O335" s="205" t="s">
        <v>3434</v>
      </c>
    </row>
    <row r="336" spans="1:15" s="2" customFormat="1" x14ac:dyDescent="0.25">
      <c r="A336" s="665" t="s">
        <v>4264</v>
      </c>
      <c r="B336" s="672"/>
      <c r="C336" s="677"/>
      <c r="D336" s="680">
        <f>AVERAGE(D207:D335)</f>
        <v>46.882898362446163</v>
      </c>
      <c r="E336" s="680">
        <f>AVERAGE(E207:E335)</f>
        <v>19.349794441946585</v>
      </c>
      <c r="F336" s="681">
        <f>AVERAGE(F207:F335)</f>
        <v>5292.6744186046508</v>
      </c>
      <c r="G336" s="17"/>
      <c r="H336" s="112"/>
      <c r="I336" s="62"/>
      <c r="J336" s="40"/>
      <c r="K336" s="194"/>
      <c r="L336" s="17"/>
      <c r="M336" s="108"/>
      <c r="N336" s="354"/>
      <c r="O336" s="61"/>
    </row>
    <row r="337" spans="1:15" x14ac:dyDescent="0.25">
      <c r="A337" s="107" t="s">
        <v>4122</v>
      </c>
      <c r="D337" s="17"/>
      <c r="E337" s="17"/>
      <c r="K337" s="108"/>
    </row>
    <row r="338" spans="1:15" x14ac:dyDescent="0.25">
      <c r="A338" s="107"/>
      <c r="B338" s="367"/>
      <c r="C338" s="368"/>
      <c r="D338" s="17"/>
      <c r="E338" s="17"/>
      <c r="K338" s="108"/>
      <c r="N338" s="354"/>
      <c r="O338" s="61"/>
    </row>
    <row r="339" spans="1:15" x14ac:dyDescent="0.25">
      <c r="A339" s="665" t="s">
        <v>4263</v>
      </c>
      <c r="B339" s="799"/>
      <c r="C339" s="368"/>
      <c r="D339" s="17"/>
      <c r="E339" s="17"/>
      <c r="K339" s="108"/>
      <c r="N339" s="354"/>
      <c r="O339" s="61"/>
    </row>
    <row r="340" spans="1:15" s="100" customFormat="1" ht="32.450000000000003" customHeight="1" x14ac:dyDescent="0.25">
      <c r="A340" s="507" t="s">
        <v>4291</v>
      </c>
      <c r="B340" s="508" t="s">
        <v>1247</v>
      </c>
      <c r="C340" s="509" t="s">
        <v>0</v>
      </c>
      <c r="D340" s="510" t="s">
        <v>969</v>
      </c>
      <c r="E340" s="510" t="s">
        <v>2323</v>
      </c>
      <c r="F340" s="510" t="s">
        <v>398</v>
      </c>
      <c r="G340" s="511" t="s">
        <v>399</v>
      </c>
      <c r="H340" s="512" t="s">
        <v>400</v>
      </c>
      <c r="I340" s="101" t="s">
        <v>2322</v>
      </c>
      <c r="J340" s="589" t="s">
        <v>3927</v>
      </c>
      <c r="K340" s="590" t="s">
        <v>3250</v>
      </c>
      <c r="L340" s="591" t="s">
        <v>1</v>
      </c>
      <c r="M340" s="590" t="s">
        <v>3486</v>
      </c>
      <c r="N340" s="640" t="s">
        <v>3487</v>
      </c>
      <c r="O340" s="339" t="s">
        <v>2324</v>
      </c>
    </row>
    <row r="341" spans="1:15" s="45" customFormat="1" x14ac:dyDescent="0.25">
      <c r="A341" s="107" t="s">
        <v>545</v>
      </c>
      <c r="B341" s="208" t="s">
        <v>2851</v>
      </c>
      <c r="C341" s="252" t="s">
        <v>858</v>
      </c>
      <c r="D341" s="41">
        <v>48.666699999999999</v>
      </c>
      <c r="E341" s="17">
        <v>16.579999999999998</v>
      </c>
      <c r="F341" s="542">
        <f t="shared" ref="F341:F348" si="13">(G341+H341)/2</f>
        <v>5137.5</v>
      </c>
      <c r="G341" s="349">
        <v>5500</v>
      </c>
      <c r="H341" s="349">
        <v>4775</v>
      </c>
      <c r="I341" s="184" t="s">
        <v>884</v>
      </c>
      <c r="J341" s="186" t="s">
        <v>1273</v>
      </c>
      <c r="K341" s="220" t="s">
        <v>21</v>
      </c>
      <c r="L341" s="17" t="s">
        <v>14</v>
      </c>
      <c r="M341" s="108" t="s">
        <v>2849</v>
      </c>
      <c r="N341" s="230" t="s">
        <v>2850</v>
      </c>
      <c r="O341" s="205"/>
    </row>
    <row r="342" spans="1:15" s="45" customFormat="1" ht="15.75" thickBot="1" x14ac:dyDescent="0.3">
      <c r="A342" s="107" t="s">
        <v>545</v>
      </c>
      <c r="B342" s="208" t="s">
        <v>2851</v>
      </c>
      <c r="C342" s="252" t="s">
        <v>858</v>
      </c>
      <c r="D342" s="41">
        <v>48.666699999999999</v>
      </c>
      <c r="E342" s="17">
        <v>16.579999999999998</v>
      </c>
      <c r="F342" s="542">
        <f t="shared" si="13"/>
        <v>5137.5</v>
      </c>
      <c r="G342" s="349">
        <v>5500</v>
      </c>
      <c r="H342" s="349">
        <v>4775</v>
      </c>
      <c r="I342" s="184" t="s">
        <v>102</v>
      </c>
      <c r="J342" s="186" t="s">
        <v>69</v>
      </c>
      <c r="K342" s="220" t="s">
        <v>21</v>
      </c>
      <c r="L342" s="17" t="s">
        <v>2</v>
      </c>
      <c r="M342" s="108" t="s">
        <v>2852</v>
      </c>
      <c r="N342" s="230" t="s">
        <v>2853</v>
      </c>
      <c r="O342" s="205"/>
    </row>
    <row r="343" spans="1:15" s="45" customFormat="1" ht="15.75" thickBot="1" x14ac:dyDescent="0.3">
      <c r="A343" s="107" t="s">
        <v>545</v>
      </c>
      <c r="B343" s="237" t="s">
        <v>2835</v>
      </c>
      <c r="C343" s="252" t="s">
        <v>858</v>
      </c>
      <c r="D343" s="41">
        <v>48.579900000000002</v>
      </c>
      <c r="E343" s="41">
        <v>16.46895</v>
      </c>
      <c r="F343" s="542">
        <f t="shared" si="13"/>
        <v>5000</v>
      </c>
      <c r="G343" s="349">
        <v>5500</v>
      </c>
      <c r="H343" s="349">
        <v>4500</v>
      </c>
      <c r="I343" s="185" t="s">
        <v>789</v>
      </c>
      <c r="J343" s="186" t="s">
        <v>147</v>
      </c>
      <c r="K343" s="220" t="s">
        <v>21</v>
      </c>
      <c r="L343" s="17" t="s">
        <v>14</v>
      </c>
      <c r="M343" s="108" t="s">
        <v>2833</v>
      </c>
      <c r="N343" s="230" t="s">
        <v>2834</v>
      </c>
      <c r="O343" s="205"/>
    </row>
    <row r="344" spans="1:15" s="45" customFormat="1" x14ac:dyDescent="0.25">
      <c r="A344" s="107" t="s">
        <v>545</v>
      </c>
      <c r="B344" s="237" t="s">
        <v>2835</v>
      </c>
      <c r="C344" s="252" t="s">
        <v>858</v>
      </c>
      <c r="D344" s="41">
        <v>48.579900000000002</v>
      </c>
      <c r="E344" s="41">
        <v>16.46895</v>
      </c>
      <c r="F344" s="542">
        <f t="shared" si="13"/>
        <v>5000</v>
      </c>
      <c r="G344" s="349">
        <v>5500</v>
      </c>
      <c r="H344" s="349">
        <v>4500</v>
      </c>
      <c r="I344" s="184" t="s">
        <v>41</v>
      </c>
      <c r="J344" s="186" t="s">
        <v>2371</v>
      </c>
      <c r="K344" s="220" t="s">
        <v>21</v>
      </c>
      <c r="L344" s="17" t="s">
        <v>14</v>
      </c>
      <c r="M344" s="108" t="s">
        <v>2854</v>
      </c>
      <c r="N344" s="230" t="s">
        <v>2855</v>
      </c>
      <c r="O344" s="205"/>
    </row>
    <row r="345" spans="1:15" s="45" customFormat="1" x14ac:dyDescent="0.25">
      <c r="A345" s="107" t="s">
        <v>545</v>
      </c>
      <c r="B345" s="237" t="s">
        <v>2835</v>
      </c>
      <c r="C345" s="252" t="s">
        <v>858</v>
      </c>
      <c r="D345" s="41">
        <v>48.579900000000002</v>
      </c>
      <c r="E345" s="41">
        <v>16.46895</v>
      </c>
      <c r="F345" s="542">
        <f t="shared" si="13"/>
        <v>5000</v>
      </c>
      <c r="G345" s="349">
        <v>5500</v>
      </c>
      <c r="H345" s="349">
        <v>4500</v>
      </c>
      <c r="I345" s="184" t="s">
        <v>18</v>
      </c>
      <c r="J345" s="40" t="s">
        <v>69</v>
      </c>
      <c r="K345" s="220" t="s">
        <v>21</v>
      </c>
      <c r="L345" s="17" t="s">
        <v>2</v>
      </c>
      <c r="M345" s="108" t="s">
        <v>2856</v>
      </c>
      <c r="N345" s="230" t="s">
        <v>2857</v>
      </c>
      <c r="O345" s="205"/>
    </row>
    <row r="346" spans="1:15" s="45" customFormat="1" x14ac:dyDescent="0.25">
      <c r="A346" s="107" t="s">
        <v>545</v>
      </c>
      <c r="B346" s="237" t="s">
        <v>2835</v>
      </c>
      <c r="C346" s="252" t="s">
        <v>858</v>
      </c>
      <c r="D346" s="41">
        <v>48.579900000000002</v>
      </c>
      <c r="E346" s="41">
        <v>16.46895</v>
      </c>
      <c r="F346" s="542">
        <f t="shared" si="13"/>
        <v>5000</v>
      </c>
      <c r="G346" s="349">
        <v>5500</v>
      </c>
      <c r="H346" s="349">
        <v>4500</v>
      </c>
      <c r="I346" s="184" t="s">
        <v>7</v>
      </c>
      <c r="J346" s="40" t="s">
        <v>69</v>
      </c>
      <c r="K346" s="220" t="s">
        <v>21</v>
      </c>
      <c r="L346" s="17" t="s">
        <v>2</v>
      </c>
      <c r="M346" s="108" t="s">
        <v>2858</v>
      </c>
      <c r="N346" s="230" t="s">
        <v>2859</v>
      </c>
      <c r="O346" s="205"/>
    </row>
    <row r="347" spans="1:15" s="45" customFormat="1" ht="15.75" thickBot="1" x14ac:dyDescent="0.3">
      <c r="A347" s="107" t="s">
        <v>545</v>
      </c>
      <c r="B347" s="237" t="s">
        <v>2835</v>
      </c>
      <c r="C347" s="252" t="s">
        <v>858</v>
      </c>
      <c r="D347" s="41">
        <v>48.579900000000002</v>
      </c>
      <c r="E347" s="41">
        <v>16.46895</v>
      </c>
      <c r="F347" s="542">
        <f t="shared" si="13"/>
        <v>5000</v>
      </c>
      <c r="G347" s="349">
        <v>5500</v>
      </c>
      <c r="H347" s="349">
        <v>4500</v>
      </c>
      <c r="I347" s="184" t="s">
        <v>2562</v>
      </c>
      <c r="J347" s="186" t="s">
        <v>363</v>
      </c>
      <c r="K347" s="220" t="s">
        <v>21</v>
      </c>
      <c r="L347" s="17" t="s">
        <v>14</v>
      </c>
      <c r="M347" s="108" t="s">
        <v>2860</v>
      </c>
      <c r="N347" s="230" t="s">
        <v>2861</v>
      </c>
      <c r="O347" s="205"/>
    </row>
    <row r="348" spans="1:15" s="45" customFormat="1" ht="15.75" thickBot="1" x14ac:dyDescent="0.3">
      <c r="A348" s="107" t="s">
        <v>2864</v>
      </c>
      <c r="B348" s="237" t="s">
        <v>2835</v>
      </c>
      <c r="C348" s="252" t="s">
        <v>858</v>
      </c>
      <c r="D348" s="41">
        <v>48.579900000000002</v>
      </c>
      <c r="E348" s="41">
        <v>16.46895</v>
      </c>
      <c r="F348" s="542">
        <f t="shared" si="13"/>
        <v>5000</v>
      </c>
      <c r="G348" s="349">
        <v>5500</v>
      </c>
      <c r="H348" s="349">
        <v>4500</v>
      </c>
      <c r="I348" s="185" t="s">
        <v>48</v>
      </c>
      <c r="J348" s="40" t="s">
        <v>69</v>
      </c>
      <c r="K348" s="220" t="s">
        <v>21</v>
      </c>
      <c r="L348" s="17" t="s">
        <v>2</v>
      </c>
      <c r="M348" s="108" t="s">
        <v>2862</v>
      </c>
      <c r="N348" s="230" t="s">
        <v>2863</v>
      </c>
      <c r="O348" s="205"/>
    </row>
    <row r="349" spans="1:15" s="45" customFormat="1" x14ac:dyDescent="0.25">
      <c r="A349" s="107" t="s">
        <v>4011</v>
      </c>
      <c r="B349" s="208" t="s">
        <v>2851</v>
      </c>
      <c r="C349" s="252" t="s">
        <v>858</v>
      </c>
      <c r="D349" s="17">
        <v>48.662809350000003</v>
      </c>
      <c r="E349" s="17">
        <v>16.585845897139802</v>
      </c>
      <c r="F349" s="116">
        <v>5550</v>
      </c>
      <c r="G349" s="197">
        <v>5950</v>
      </c>
      <c r="H349" s="197">
        <v>5150</v>
      </c>
      <c r="I349" s="111" t="s">
        <v>7</v>
      </c>
      <c r="J349" s="40" t="s">
        <v>69</v>
      </c>
      <c r="K349" s="220" t="s">
        <v>21</v>
      </c>
      <c r="L349" s="17" t="s">
        <v>2</v>
      </c>
      <c r="M349" s="87" t="s">
        <v>2341</v>
      </c>
      <c r="N349" s="230"/>
      <c r="O349" s="205" t="s">
        <v>4093</v>
      </c>
    </row>
    <row r="350" spans="1:15" s="45" customFormat="1" x14ac:dyDescent="0.25">
      <c r="A350" s="107" t="s">
        <v>4011</v>
      </c>
      <c r="B350" s="208" t="s">
        <v>2851</v>
      </c>
      <c r="C350" s="252" t="s">
        <v>858</v>
      </c>
      <c r="D350" s="17">
        <v>48.662809350000003</v>
      </c>
      <c r="E350" s="17">
        <v>16.585845897139802</v>
      </c>
      <c r="F350" s="116">
        <v>5550</v>
      </c>
      <c r="G350" s="197">
        <v>5950</v>
      </c>
      <c r="H350" s="115">
        <v>5150</v>
      </c>
      <c r="I350" s="97" t="s">
        <v>829</v>
      </c>
      <c r="J350" s="40" t="s">
        <v>69</v>
      </c>
      <c r="K350" s="220" t="s">
        <v>21</v>
      </c>
      <c r="L350" s="17" t="s">
        <v>2</v>
      </c>
      <c r="M350" s="87" t="s">
        <v>2325</v>
      </c>
      <c r="N350" s="230"/>
      <c r="O350" s="205"/>
    </row>
    <row r="351" spans="1:15" s="45" customFormat="1" x14ac:dyDescent="0.25">
      <c r="A351" s="107" t="s">
        <v>4011</v>
      </c>
      <c r="B351" s="208" t="s">
        <v>2851</v>
      </c>
      <c r="C351" s="252" t="s">
        <v>858</v>
      </c>
      <c r="D351" s="17">
        <v>48.662809350000003</v>
      </c>
      <c r="E351" s="17">
        <v>16.585845897139802</v>
      </c>
      <c r="F351" s="116">
        <v>5550</v>
      </c>
      <c r="G351" s="197">
        <v>5950</v>
      </c>
      <c r="H351" s="115">
        <v>5150</v>
      </c>
      <c r="I351" s="97" t="s">
        <v>41</v>
      </c>
      <c r="J351" s="40" t="s">
        <v>69</v>
      </c>
      <c r="K351" s="220" t="s">
        <v>21</v>
      </c>
      <c r="L351" s="17" t="s">
        <v>2</v>
      </c>
      <c r="M351" s="87" t="s">
        <v>2329</v>
      </c>
      <c r="N351" s="230"/>
      <c r="O351" s="205"/>
    </row>
    <row r="352" spans="1:15" s="45" customFormat="1" x14ac:dyDescent="0.25">
      <c r="A352" s="107" t="s">
        <v>4011</v>
      </c>
      <c r="B352" s="208" t="s">
        <v>2851</v>
      </c>
      <c r="C352" s="252" t="s">
        <v>858</v>
      </c>
      <c r="D352" s="17">
        <v>48.662809350000003</v>
      </c>
      <c r="E352" s="17">
        <v>16.585845897139802</v>
      </c>
      <c r="F352" s="116">
        <v>5550</v>
      </c>
      <c r="G352" s="197">
        <v>5950</v>
      </c>
      <c r="H352" s="197">
        <v>5150</v>
      </c>
      <c r="I352" s="111" t="s">
        <v>7</v>
      </c>
      <c r="J352" s="40" t="s">
        <v>69</v>
      </c>
      <c r="K352" s="220" t="s">
        <v>21</v>
      </c>
      <c r="L352" s="17" t="s">
        <v>2</v>
      </c>
      <c r="M352" s="87" t="s">
        <v>2363</v>
      </c>
      <c r="N352" s="230"/>
      <c r="O352" s="205"/>
    </row>
    <row r="353" spans="1:15" s="45" customFormat="1" x14ac:dyDescent="0.25">
      <c r="A353" s="107" t="s">
        <v>4011</v>
      </c>
      <c r="B353" s="208" t="s">
        <v>2851</v>
      </c>
      <c r="C353" s="252" t="s">
        <v>858</v>
      </c>
      <c r="D353" s="17">
        <v>48.662809350000003</v>
      </c>
      <c r="E353" s="17">
        <v>16.585845897139802</v>
      </c>
      <c r="F353" s="116">
        <v>5550</v>
      </c>
      <c r="G353" s="197">
        <v>5950</v>
      </c>
      <c r="H353" s="197">
        <v>5150</v>
      </c>
      <c r="I353" s="111" t="s">
        <v>742</v>
      </c>
      <c r="J353" s="40" t="s">
        <v>69</v>
      </c>
      <c r="K353" s="220" t="s">
        <v>21</v>
      </c>
      <c r="L353" s="17" t="s">
        <v>14</v>
      </c>
      <c r="M353" s="87" t="s">
        <v>2364</v>
      </c>
      <c r="N353" s="230"/>
      <c r="O353" s="205"/>
    </row>
    <row r="354" spans="1:15" s="45" customFormat="1" x14ac:dyDescent="0.25">
      <c r="A354" s="107" t="s">
        <v>4011</v>
      </c>
      <c r="B354" s="208" t="s">
        <v>2851</v>
      </c>
      <c r="C354" s="252" t="s">
        <v>858</v>
      </c>
      <c r="D354" s="17">
        <v>48.662809350000003</v>
      </c>
      <c r="E354" s="17">
        <v>16.585845897139802</v>
      </c>
      <c r="F354" s="116">
        <v>5550</v>
      </c>
      <c r="G354" s="197">
        <v>5950</v>
      </c>
      <c r="H354" s="197">
        <v>5150</v>
      </c>
      <c r="I354" s="119" t="s">
        <v>12</v>
      </c>
      <c r="J354" s="40" t="s">
        <v>69</v>
      </c>
      <c r="K354" s="220" t="s">
        <v>21</v>
      </c>
      <c r="L354" s="17" t="s">
        <v>2</v>
      </c>
      <c r="M354" s="87" t="s">
        <v>2365</v>
      </c>
      <c r="N354" s="230"/>
      <c r="O354" s="205"/>
    </row>
    <row r="355" spans="1:15" s="45" customFormat="1" x14ac:dyDescent="0.25">
      <c r="A355" s="107" t="s">
        <v>4011</v>
      </c>
      <c r="B355" s="208" t="s">
        <v>2851</v>
      </c>
      <c r="C355" s="252" t="s">
        <v>858</v>
      </c>
      <c r="D355" s="17">
        <v>48.662809350000003</v>
      </c>
      <c r="E355" s="17">
        <v>16.585845897139802</v>
      </c>
      <c r="F355" s="116">
        <v>5550</v>
      </c>
      <c r="G355" s="197">
        <v>5950</v>
      </c>
      <c r="H355" s="197">
        <v>5150</v>
      </c>
      <c r="I355" s="111" t="s">
        <v>128</v>
      </c>
      <c r="J355" s="40" t="s">
        <v>69</v>
      </c>
      <c r="K355" s="220" t="s">
        <v>21</v>
      </c>
      <c r="L355" s="17" t="s">
        <v>2</v>
      </c>
      <c r="M355" s="87" t="s">
        <v>2362</v>
      </c>
      <c r="N355" s="230"/>
      <c r="O355" s="205" t="s">
        <v>4094</v>
      </c>
    </row>
    <row r="356" spans="1:15" s="45" customFormat="1" ht="15.75" thickBot="1" x14ac:dyDescent="0.3">
      <c r="A356" s="107" t="s">
        <v>4011</v>
      </c>
      <c r="B356" s="205" t="s">
        <v>2357</v>
      </c>
      <c r="C356" s="252" t="s">
        <v>858</v>
      </c>
      <c r="D356" s="17">
        <v>48.5860378</v>
      </c>
      <c r="E356" s="41">
        <v>16.495984099999902</v>
      </c>
      <c r="F356" s="118">
        <v>5250</v>
      </c>
      <c r="G356" s="192">
        <v>5500</v>
      </c>
      <c r="H356" s="112">
        <v>5000</v>
      </c>
      <c r="I356" s="97" t="s">
        <v>68</v>
      </c>
      <c r="J356" s="40" t="s">
        <v>69</v>
      </c>
      <c r="K356" s="220" t="s">
        <v>21</v>
      </c>
      <c r="L356" s="17" t="s">
        <v>2</v>
      </c>
      <c r="M356" s="87" t="s">
        <v>2328</v>
      </c>
      <c r="N356" s="230" t="s">
        <v>3645</v>
      </c>
      <c r="O356" s="205"/>
    </row>
    <row r="357" spans="1:15" s="45" customFormat="1" ht="15.75" thickBot="1" x14ac:dyDescent="0.3">
      <c r="A357" s="107" t="s">
        <v>4011</v>
      </c>
      <c r="B357" s="205" t="s">
        <v>2357</v>
      </c>
      <c r="C357" s="252" t="s">
        <v>858</v>
      </c>
      <c r="D357" s="17">
        <v>48.5860378</v>
      </c>
      <c r="E357" s="41">
        <v>16.495984099999902</v>
      </c>
      <c r="F357" s="118">
        <v>5250</v>
      </c>
      <c r="G357" s="192">
        <v>5500</v>
      </c>
      <c r="H357" s="112">
        <v>5000</v>
      </c>
      <c r="I357" s="175" t="s">
        <v>6</v>
      </c>
      <c r="J357" s="40" t="s">
        <v>69</v>
      </c>
      <c r="K357" s="220" t="s">
        <v>21</v>
      </c>
      <c r="L357" s="17" t="s">
        <v>14</v>
      </c>
      <c r="M357" s="87" t="s">
        <v>2332</v>
      </c>
      <c r="N357" s="230" t="s">
        <v>3647</v>
      </c>
      <c r="O357" s="205"/>
    </row>
    <row r="358" spans="1:15" s="45" customFormat="1" x14ac:dyDescent="0.25">
      <c r="A358" s="107" t="s">
        <v>4011</v>
      </c>
      <c r="B358" s="205" t="s">
        <v>2357</v>
      </c>
      <c r="C358" s="252" t="s">
        <v>858</v>
      </c>
      <c r="D358" s="17">
        <v>48.5860378</v>
      </c>
      <c r="E358" s="41">
        <v>16.495984099999902</v>
      </c>
      <c r="F358" s="118">
        <v>5250</v>
      </c>
      <c r="G358" s="192">
        <v>5500</v>
      </c>
      <c r="H358" s="192">
        <v>5000</v>
      </c>
      <c r="I358" s="111" t="s">
        <v>132</v>
      </c>
      <c r="J358" s="40" t="s">
        <v>69</v>
      </c>
      <c r="K358" s="220" t="s">
        <v>21</v>
      </c>
      <c r="L358" s="17" t="s">
        <v>14</v>
      </c>
      <c r="M358" s="87" t="s">
        <v>2342</v>
      </c>
      <c r="N358" s="230" t="s">
        <v>3648</v>
      </c>
      <c r="O358" s="205" t="s">
        <v>4095</v>
      </c>
    </row>
    <row r="359" spans="1:15" s="45" customFormat="1" x14ac:dyDescent="0.25">
      <c r="A359" s="107" t="s">
        <v>4011</v>
      </c>
      <c r="B359" s="205" t="s">
        <v>2357</v>
      </c>
      <c r="C359" s="252" t="s">
        <v>858</v>
      </c>
      <c r="D359" s="17">
        <v>48.5860378</v>
      </c>
      <c r="E359" s="41">
        <v>16.495984099999902</v>
      </c>
      <c r="F359" s="118">
        <v>5250</v>
      </c>
      <c r="G359" s="192">
        <v>5500</v>
      </c>
      <c r="H359" s="192">
        <v>5000</v>
      </c>
      <c r="I359" s="111" t="s">
        <v>4091</v>
      </c>
      <c r="J359" s="40" t="s">
        <v>69</v>
      </c>
      <c r="K359" s="220" t="s">
        <v>21</v>
      </c>
      <c r="L359" s="17" t="s">
        <v>2</v>
      </c>
      <c r="M359" s="87" t="s">
        <v>2343</v>
      </c>
      <c r="N359" s="230" t="s">
        <v>3649</v>
      </c>
      <c r="O359" s="205"/>
    </row>
    <row r="360" spans="1:15" s="45" customFormat="1" x14ac:dyDescent="0.25">
      <c r="A360" s="107" t="s">
        <v>4092</v>
      </c>
      <c r="B360" s="205" t="s">
        <v>2357</v>
      </c>
      <c r="C360" s="252" t="s">
        <v>858</v>
      </c>
      <c r="D360" s="17">
        <v>48.5860378</v>
      </c>
      <c r="E360" s="41">
        <v>16.495984099999902</v>
      </c>
      <c r="F360" s="118">
        <v>5250</v>
      </c>
      <c r="G360" s="192">
        <v>5500</v>
      </c>
      <c r="H360" s="192">
        <v>5000</v>
      </c>
      <c r="I360" s="111" t="s">
        <v>1708</v>
      </c>
      <c r="J360" s="40" t="s">
        <v>2371</v>
      </c>
      <c r="K360" s="220" t="s">
        <v>21</v>
      </c>
      <c r="L360" s="17" t="s">
        <v>14</v>
      </c>
      <c r="M360" s="87" t="s">
        <v>2344</v>
      </c>
      <c r="N360" s="230" t="s">
        <v>3650</v>
      </c>
      <c r="O360" s="205"/>
    </row>
    <row r="361" spans="1:15" s="45" customFormat="1" ht="15.75" thickBot="1" x14ac:dyDescent="0.3">
      <c r="A361" s="107" t="s">
        <v>4011</v>
      </c>
      <c r="B361" s="205" t="s">
        <v>2357</v>
      </c>
      <c r="C361" s="252" t="s">
        <v>858</v>
      </c>
      <c r="D361" s="17">
        <v>48.5860378</v>
      </c>
      <c r="E361" s="41">
        <v>16.495984099999902</v>
      </c>
      <c r="F361" s="118">
        <v>5250</v>
      </c>
      <c r="G361" s="192">
        <v>5500</v>
      </c>
      <c r="H361" s="192">
        <v>5000</v>
      </c>
      <c r="I361" s="111" t="s">
        <v>889</v>
      </c>
      <c r="J361" s="40" t="s">
        <v>69</v>
      </c>
      <c r="K361" s="220" t="s">
        <v>21</v>
      </c>
      <c r="L361" s="17" t="s">
        <v>2</v>
      </c>
      <c r="M361" s="87" t="s">
        <v>2345</v>
      </c>
      <c r="N361" s="230" t="s">
        <v>3651</v>
      </c>
      <c r="O361" s="205"/>
    </row>
    <row r="362" spans="1:15" s="45" customFormat="1" ht="15.75" thickBot="1" x14ac:dyDescent="0.3">
      <c r="A362" s="107" t="s">
        <v>4011</v>
      </c>
      <c r="B362" s="205" t="s">
        <v>2357</v>
      </c>
      <c r="C362" s="252" t="s">
        <v>858</v>
      </c>
      <c r="D362" s="17">
        <v>48.5860378</v>
      </c>
      <c r="E362" s="41">
        <v>16.495984099999902</v>
      </c>
      <c r="F362" s="118">
        <v>5250</v>
      </c>
      <c r="G362" s="192">
        <v>5500</v>
      </c>
      <c r="H362" s="112">
        <v>5000</v>
      </c>
      <c r="I362" s="175" t="s">
        <v>6</v>
      </c>
      <c r="J362" s="40" t="s">
        <v>69</v>
      </c>
      <c r="K362" s="220" t="s">
        <v>21</v>
      </c>
      <c r="L362" s="17" t="s">
        <v>14</v>
      </c>
      <c r="M362" s="87" t="s">
        <v>2331</v>
      </c>
      <c r="N362" s="230" t="s">
        <v>3646</v>
      </c>
      <c r="O362" s="205"/>
    </row>
    <row r="363" spans="1:15" s="45" customFormat="1" x14ac:dyDescent="0.25">
      <c r="A363" s="107" t="s">
        <v>857</v>
      </c>
      <c r="B363" s="205" t="s">
        <v>866</v>
      </c>
      <c r="C363" s="252" t="s">
        <v>858</v>
      </c>
      <c r="D363" s="41">
        <v>48.120396</v>
      </c>
      <c r="E363" s="41">
        <v>16.291722</v>
      </c>
      <c r="F363" s="116">
        <f>AVERAGE(G363:H363)</f>
        <v>5457</v>
      </c>
      <c r="G363" s="17">
        <v>5534</v>
      </c>
      <c r="H363" s="112">
        <v>5380</v>
      </c>
      <c r="I363" s="97" t="s">
        <v>5</v>
      </c>
      <c r="J363" s="40" t="s">
        <v>862</v>
      </c>
      <c r="K363" s="416" t="s">
        <v>21</v>
      </c>
      <c r="L363" s="17" t="s">
        <v>14</v>
      </c>
      <c r="M363" s="108" t="s">
        <v>859</v>
      </c>
      <c r="N363" s="230"/>
      <c r="O363" s="205"/>
    </row>
    <row r="364" spans="1:15" s="45" customFormat="1" ht="15.75" thickBot="1" x14ac:dyDescent="0.3">
      <c r="A364" s="107" t="s">
        <v>857</v>
      </c>
      <c r="B364" s="205" t="s">
        <v>866</v>
      </c>
      <c r="C364" s="252" t="s">
        <v>858</v>
      </c>
      <c r="D364" s="41">
        <v>48.120396</v>
      </c>
      <c r="E364" s="41">
        <v>16.291722</v>
      </c>
      <c r="F364" s="116">
        <f>AVERAGE(G364:H364)</f>
        <v>5429</v>
      </c>
      <c r="G364" s="17">
        <v>5551</v>
      </c>
      <c r="H364" s="112">
        <v>5307</v>
      </c>
      <c r="I364" s="97" t="s">
        <v>864</v>
      </c>
      <c r="J364" s="40" t="s">
        <v>863</v>
      </c>
      <c r="K364" s="416" t="s">
        <v>21</v>
      </c>
      <c r="L364" s="17" t="s">
        <v>14</v>
      </c>
      <c r="M364" s="108" t="s">
        <v>860</v>
      </c>
      <c r="N364" s="230"/>
      <c r="O364" s="205"/>
    </row>
    <row r="365" spans="1:15" s="45" customFormat="1" ht="15.75" thickBot="1" x14ac:dyDescent="0.3">
      <c r="A365" s="107" t="s">
        <v>857</v>
      </c>
      <c r="B365" s="205" t="s">
        <v>866</v>
      </c>
      <c r="C365" s="252" t="s">
        <v>858</v>
      </c>
      <c r="D365" s="41">
        <v>48.120396</v>
      </c>
      <c r="E365" s="41">
        <v>16.291722</v>
      </c>
      <c r="F365" s="118">
        <f>AVERAGE(G365:H365)</f>
        <v>5349</v>
      </c>
      <c r="G365" s="17">
        <v>5464</v>
      </c>
      <c r="H365" s="112">
        <v>5234</v>
      </c>
      <c r="I365" s="174" t="s">
        <v>48</v>
      </c>
      <c r="J365" s="40" t="s">
        <v>865</v>
      </c>
      <c r="K365" s="416" t="s">
        <v>21</v>
      </c>
      <c r="L365" s="17" t="s">
        <v>14</v>
      </c>
      <c r="M365" s="108" t="s">
        <v>861</v>
      </c>
      <c r="N365" s="230"/>
      <c r="O365" s="205"/>
    </row>
    <row r="366" spans="1:15" s="45" customFormat="1" x14ac:dyDescent="0.25">
      <c r="A366" s="107" t="s">
        <v>2297</v>
      </c>
      <c r="B366" s="208" t="s">
        <v>2851</v>
      </c>
      <c r="C366" s="252" t="s">
        <v>858</v>
      </c>
      <c r="D366" s="17">
        <v>48.662809350000003</v>
      </c>
      <c r="E366" s="17">
        <v>16.585845897139802</v>
      </c>
      <c r="F366" s="116">
        <f>(G366+H366)/2</f>
        <v>5173</v>
      </c>
      <c r="G366" s="197">
        <f>7244-1949</f>
        <v>5295</v>
      </c>
      <c r="H366" s="197">
        <f>7000-1949</f>
        <v>5051</v>
      </c>
      <c r="I366" s="119" t="s">
        <v>2370</v>
      </c>
      <c r="J366" s="40" t="s">
        <v>69</v>
      </c>
      <c r="K366" s="220" t="s">
        <v>21</v>
      </c>
      <c r="L366" s="17" t="s">
        <v>2</v>
      </c>
      <c r="M366" s="87" t="s">
        <v>3259</v>
      </c>
      <c r="N366" s="230"/>
      <c r="O366" s="205"/>
    </row>
    <row r="367" spans="1:15" s="100" customFormat="1" ht="14.45" customHeight="1" x14ac:dyDescent="0.25">
      <c r="A367" s="543" t="s">
        <v>2875</v>
      </c>
      <c r="B367" s="544" t="s">
        <v>2538</v>
      </c>
      <c r="C367" s="538" t="s">
        <v>1323</v>
      </c>
      <c r="D367" s="539">
        <v>49.021000000000001</v>
      </c>
      <c r="E367" s="539">
        <v>16.38</v>
      </c>
      <c r="F367" s="662">
        <v>5300</v>
      </c>
      <c r="G367" s="314">
        <v>5500</v>
      </c>
      <c r="H367" s="314">
        <v>5200</v>
      </c>
      <c r="I367" s="190" t="s">
        <v>38</v>
      </c>
      <c r="J367" s="40" t="s">
        <v>69</v>
      </c>
      <c r="K367" s="602" t="s">
        <v>21</v>
      </c>
      <c r="L367" s="192" t="s">
        <v>2</v>
      </c>
      <c r="M367" s="597" t="s">
        <v>2877</v>
      </c>
      <c r="N367" s="645"/>
      <c r="O367" s="341"/>
    </row>
    <row r="368" spans="1:15" s="100" customFormat="1" ht="14.45" customHeight="1" x14ac:dyDescent="0.25">
      <c r="A368" s="543" t="s">
        <v>2875</v>
      </c>
      <c r="B368" s="544" t="s">
        <v>2538</v>
      </c>
      <c r="C368" s="538" t="s">
        <v>1323</v>
      </c>
      <c r="D368" s="539">
        <v>49.021000000000001</v>
      </c>
      <c r="E368" s="539">
        <v>16.38</v>
      </c>
      <c r="F368" s="662">
        <v>5300</v>
      </c>
      <c r="G368" s="314">
        <v>5500</v>
      </c>
      <c r="H368" s="314">
        <v>5200</v>
      </c>
      <c r="I368" s="190" t="s">
        <v>18</v>
      </c>
      <c r="J368" s="40" t="s">
        <v>69</v>
      </c>
      <c r="K368" s="602" t="s">
        <v>21</v>
      </c>
      <c r="L368" s="595" t="s">
        <v>14</v>
      </c>
      <c r="M368" s="597" t="s">
        <v>2878</v>
      </c>
      <c r="N368" s="645"/>
      <c r="O368" s="341"/>
    </row>
    <row r="369" spans="1:15" s="100" customFormat="1" ht="14.45" customHeight="1" x14ac:dyDescent="0.25">
      <c r="A369" s="543" t="s">
        <v>2875</v>
      </c>
      <c r="B369" s="544" t="s">
        <v>2538</v>
      </c>
      <c r="C369" s="538" t="s">
        <v>1323</v>
      </c>
      <c r="D369" s="539">
        <v>49.021000000000001</v>
      </c>
      <c r="E369" s="539">
        <v>16.38</v>
      </c>
      <c r="F369" s="662">
        <v>5300</v>
      </c>
      <c r="G369" s="314">
        <v>5500</v>
      </c>
      <c r="H369" s="314">
        <v>5200</v>
      </c>
      <c r="I369" s="190" t="s">
        <v>8</v>
      </c>
      <c r="J369" s="40" t="s">
        <v>69</v>
      </c>
      <c r="K369" s="602" t="s">
        <v>21</v>
      </c>
      <c r="L369" s="595" t="s">
        <v>2885</v>
      </c>
      <c r="M369" s="597" t="s">
        <v>2879</v>
      </c>
      <c r="N369" s="645"/>
      <c r="O369" s="341"/>
    </row>
    <row r="370" spans="1:15" s="100" customFormat="1" ht="14.45" customHeight="1" x14ac:dyDescent="0.25">
      <c r="A370" s="543" t="s">
        <v>2875</v>
      </c>
      <c r="B370" s="544" t="s">
        <v>2538</v>
      </c>
      <c r="C370" s="538" t="s">
        <v>1323</v>
      </c>
      <c r="D370" s="539">
        <v>49.021000000000001</v>
      </c>
      <c r="E370" s="539">
        <v>16.38</v>
      </c>
      <c r="F370" s="662">
        <v>5300</v>
      </c>
      <c r="G370" s="314">
        <v>5500</v>
      </c>
      <c r="H370" s="314">
        <v>5200</v>
      </c>
      <c r="I370" s="190" t="s">
        <v>109</v>
      </c>
      <c r="J370" s="40" t="s">
        <v>69</v>
      </c>
      <c r="K370" s="602" t="s">
        <v>21</v>
      </c>
      <c r="L370" s="595" t="s">
        <v>14</v>
      </c>
      <c r="M370" s="597" t="s">
        <v>2880</v>
      </c>
      <c r="N370" s="645"/>
      <c r="O370" s="341"/>
    </row>
    <row r="371" spans="1:15" s="100" customFormat="1" ht="14.45" customHeight="1" thickBot="1" x14ac:dyDescent="0.3">
      <c r="A371" s="543" t="s">
        <v>2875</v>
      </c>
      <c r="B371" s="544" t="s">
        <v>2538</v>
      </c>
      <c r="C371" s="538" t="s">
        <v>1323</v>
      </c>
      <c r="D371" s="539">
        <v>49.021000000000001</v>
      </c>
      <c r="E371" s="539">
        <v>16.38</v>
      </c>
      <c r="F371" s="662">
        <v>5300</v>
      </c>
      <c r="G371" s="314">
        <v>5500</v>
      </c>
      <c r="H371" s="314">
        <v>5200</v>
      </c>
      <c r="I371" s="190" t="s">
        <v>109</v>
      </c>
      <c r="J371" s="40" t="s">
        <v>69</v>
      </c>
      <c r="K371" s="602" t="s">
        <v>21</v>
      </c>
      <c r="L371" s="595" t="s">
        <v>14</v>
      </c>
      <c r="M371" s="597" t="s">
        <v>2881</v>
      </c>
      <c r="N371" s="645"/>
      <c r="O371" s="341"/>
    </row>
    <row r="372" spans="1:15" s="100" customFormat="1" ht="14.45" customHeight="1" thickBot="1" x14ac:dyDescent="0.3">
      <c r="A372" s="543" t="s">
        <v>2875</v>
      </c>
      <c r="B372" s="544" t="s">
        <v>2538</v>
      </c>
      <c r="C372" s="538" t="s">
        <v>1323</v>
      </c>
      <c r="D372" s="539">
        <v>49.021000000000001</v>
      </c>
      <c r="E372" s="539">
        <v>16.38</v>
      </c>
      <c r="F372" s="662">
        <v>5300</v>
      </c>
      <c r="G372" s="314">
        <v>5500</v>
      </c>
      <c r="H372" s="314">
        <v>5200</v>
      </c>
      <c r="I372" s="390" t="s">
        <v>43</v>
      </c>
      <c r="J372" s="40" t="s">
        <v>69</v>
      </c>
      <c r="K372" s="602" t="s">
        <v>21</v>
      </c>
      <c r="L372" s="595" t="s">
        <v>2</v>
      </c>
      <c r="M372" s="597" t="s">
        <v>2882</v>
      </c>
      <c r="N372" s="645"/>
      <c r="O372" s="341"/>
    </row>
    <row r="373" spans="1:15" s="100" customFormat="1" ht="14.45" customHeight="1" thickBot="1" x14ac:dyDescent="0.3">
      <c r="A373" s="543" t="s">
        <v>2875</v>
      </c>
      <c r="B373" s="544" t="s">
        <v>2538</v>
      </c>
      <c r="C373" s="538" t="s">
        <v>1323</v>
      </c>
      <c r="D373" s="539">
        <v>49.021000000000001</v>
      </c>
      <c r="E373" s="539">
        <v>16.38</v>
      </c>
      <c r="F373" s="662">
        <v>5300</v>
      </c>
      <c r="G373" s="314">
        <v>5500</v>
      </c>
      <c r="H373" s="314">
        <v>5200</v>
      </c>
      <c r="I373" s="390" t="s">
        <v>43</v>
      </c>
      <c r="J373" s="40" t="s">
        <v>69</v>
      </c>
      <c r="K373" s="602" t="s">
        <v>21</v>
      </c>
      <c r="L373" s="595" t="s">
        <v>2</v>
      </c>
      <c r="M373" s="597" t="s">
        <v>2883</v>
      </c>
      <c r="N373" s="645"/>
      <c r="O373" s="341"/>
    </row>
    <row r="374" spans="1:15" s="100" customFormat="1" ht="14.45" customHeight="1" thickBot="1" x14ac:dyDescent="0.3">
      <c r="A374" s="543" t="s">
        <v>2875</v>
      </c>
      <c r="B374" s="544" t="s">
        <v>2538</v>
      </c>
      <c r="C374" s="538" t="s">
        <v>1323</v>
      </c>
      <c r="D374" s="539">
        <v>49.021000000000001</v>
      </c>
      <c r="E374" s="539">
        <v>16.38</v>
      </c>
      <c r="F374" s="662">
        <v>5300</v>
      </c>
      <c r="G374" s="314">
        <v>5500</v>
      </c>
      <c r="H374" s="314">
        <v>5200</v>
      </c>
      <c r="I374" s="390" t="s">
        <v>43</v>
      </c>
      <c r="J374" s="40" t="s">
        <v>69</v>
      </c>
      <c r="K374" s="602" t="s">
        <v>21</v>
      </c>
      <c r="L374" s="595" t="s">
        <v>2</v>
      </c>
      <c r="M374" s="597" t="s">
        <v>2884</v>
      </c>
      <c r="N374" s="645"/>
      <c r="O374" s="341"/>
    </row>
    <row r="375" spans="1:15" s="100" customFormat="1" ht="14.45" customHeight="1" x14ac:dyDescent="0.25">
      <c r="A375" s="543" t="s">
        <v>407</v>
      </c>
      <c r="B375" s="538" t="s">
        <v>3152</v>
      </c>
      <c r="C375" s="538" t="s">
        <v>1323</v>
      </c>
      <c r="D375" s="17">
        <v>50.121747499999998</v>
      </c>
      <c r="E375" s="17">
        <v>14.4569508</v>
      </c>
      <c r="F375" s="663">
        <f>(G375+H375)/2</f>
        <v>4398.5</v>
      </c>
      <c r="G375" s="314">
        <v>4449</v>
      </c>
      <c r="H375" s="314">
        <v>4348</v>
      </c>
      <c r="I375" s="111" t="s">
        <v>1664</v>
      </c>
      <c r="J375" s="2" t="s">
        <v>133</v>
      </c>
      <c r="K375" s="328" t="s">
        <v>3153</v>
      </c>
      <c r="L375" s="595" t="s">
        <v>14</v>
      </c>
      <c r="M375" s="87" t="s">
        <v>3154</v>
      </c>
      <c r="N375" s="230" t="s">
        <v>3155</v>
      </c>
      <c r="O375" s="341"/>
    </row>
    <row r="376" spans="1:15" s="100" customFormat="1" ht="14.45" customHeight="1" thickBot="1" x14ac:dyDescent="0.3">
      <c r="A376" s="543" t="s">
        <v>407</v>
      </c>
      <c r="B376" s="538" t="s">
        <v>3152</v>
      </c>
      <c r="C376" s="538" t="s">
        <v>1323</v>
      </c>
      <c r="D376" s="17">
        <v>50.121747499999998</v>
      </c>
      <c r="E376" s="17">
        <v>14.4569508</v>
      </c>
      <c r="F376" s="662">
        <f>(G376+H376)/2</f>
        <v>4428</v>
      </c>
      <c r="G376" s="314">
        <v>4488</v>
      </c>
      <c r="H376" s="314">
        <v>4368</v>
      </c>
      <c r="I376" s="111" t="s">
        <v>314</v>
      </c>
      <c r="J376" s="40" t="s">
        <v>69</v>
      </c>
      <c r="K376" s="328" t="s">
        <v>3153</v>
      </c>
      <c r="L376" s="595" t="s">
        <v>2</v>
      </c>
      <c r="M376" s="87" t="s">
        <v>3156</v>
      </c>
      <c r="N376" s="230" t="s">
        <v>3157</v>
      </c>
      <c r="O376" s="341"/>
    </row>
    <row r="377" spans="1:15" s="2" customFormat="1" ht="15.75" thickBot="1" x14ac:dyDescent="0.3">
      <c r="A377" s="328" t="s">
        <v>2504</v>
      </c>
      <c r="B377" s="544" t="s">
        <v>2538</v>
      </c>
      <c r="C377" s="538" t="s">
        <v>1323</v>
      </c>
      <c r="D377" s="539">
        <v>49.021000000000001</v>
      </c>
      <c r="E377" s="539">
        <v>16.38</v>
      </c>
      <c r="F377" s="664">
        <v>5321</v>
      </c>
      <c r="G377" s="539">
        <v>5061</v>
      </c>
      <c r="H377" s="545">
        <v>5191</v>
      </c>
      <c r="I377" s="191" t="s">
        <v>6</v>
      </c>
      <c r="J377" s="598" t="s">
        <v>345</v>
      </c>
      <c r="K377" s="603" t="s">
        <v>2536</v>
      </c>
      <c r="L377" s="192" t="s">
        <v>14</v>
      </c>
      <c r="M377" s="600" t="s">
        <v>2530</v>
      </c>
      <c r="N377" s="209" t="s">
        <v>2531</v>
      </c>
      <c r="O377" s="206"/>
    </row>
    <row r="378" spans="1:15" s="45" customFormat="1" x14ac:dyDescent="0.25">
      <c r="A378" s="665" t="s">
        <v>4263</v>
      </c>
      <c r="B378" s="669"/>
      <c r="C378" s="670"/>
      <c r="D378" s="686">
        <f>AVERAGE(D341:D377)</f>
        <v>48.757060064864859</v>
      </c>
      <c r="E378" s="687">
        <f>AVERAGE(E341:E377)</f>
        <v>16.360579012895062</v>
      </c>
      <c r="F378" s="688">
        <f>AVERAGE(F341:F377)</f>
        <v>5238.6621621621625</v>
      </c>
      <c r="G378" s="12"/>
      <c r="H378" s="113"/>
      <c r="I378" s="359"/>
      <c r="J378" s="281"/>
      <c r="K378" s="232"/>
      <c r="L378" s="29"/>
      <c r="M378" s="232"/>
      <c r="N378" s="354"/>
      <c r="O378" s="325"/>
    </row>
    <row r="379" spans="1:15" x14ac:dyDescent="0.25">
      <c r="B379" s="367"/>
      <c r="C379" s="368"/>
      <c r="D379" s="14"/>
      <c r="E379" s="14"/>
      <c r="F379" s="385"/>
      <c r="G379" s="12"/>
      <c r="H379" s="113"/>
      <c r="I379" s="281"/>
      <c r="J379" s="281"/>
      <c r="K379" s="370"/>
      <c r="L379" s="29"/>
      <c r="M379" s="232"/>
      <c r="N379" s="354"/>
      <c r="O379" s="61"/>
    </row>
    <row r="380" spans="1:15" x14ac:dyDescent="0.25">
      <c r="A380" s="665" t="s">
        <v>4262</v>
      </c>
      <c r="B380" s="367"/>
      <c r="C380" s="368"/>
      <c r="D380" s="14"/>
      <c r="E380" s="14"/>
      <c r="F380" s="385"/>
      <c r="G380" s="12"/>
      <c r="H380" s="113"/>
      <c r="I380" s="281"/>
      <c r="J380" s="281"/>
      <c r="K380" s="370"/>
      <c r="L380" s="29"/>
      <c r="M380" s="232"/>
      <c r="N380" s="354"/>
      <c r="O380" s="61"/>
    </row>
    <row r="381" spans="1:15" s="100" customFormat="1" ht="32.450000000000003" customHeight="1" x14ac:dyDescent="0.25">
      <c r="A381" s="507" t="s">
        <v>4291</v>
      </c>
      <c r="B381" s="508" t="s">
        <v>1247</v>
      </c>
      <c r="C381" s="519" t="s">
        <v>0</v>
      </c>
      <c r="D381" s="510" t="s">
        <v>969</v>
      </c>
      <c r="E381" s="510" t="s">
        <v>2323</v>
      </c>
      <c r="F381" s="510" t="s">
        <v>398</v>
      </c>
      <c r="G381" s="511" t="s">
        <v>399</v>
      </c>
      <c r="H381" s="512" t="s">
        <v>400</v>
      </c>
      <c r="I381" s="101" t="s">
        <v>2322</v>
      </c>
      <c r="J381" s="589" t="s">
        <v>3927</v>
      </c>
      <c r="K381" s="590" t="s">
        <v>3250</v>
      </c>
      <c r="L381" s="591" t="s">
        <v>1</v>
      </c>
      <c r="M381" s="590" t="s">
        <v>3486</v>
      </c>
      <c r="N381" s="640" t="s">
        <v>3487</v>
      </c>
      <c r="O381" s="339" t="s">
        <v>2324</v>
      </c>
    </row>
    <row r="382" spans="1:15" s="45" customFormat="1" ht="15.75" thickBot="1" x14ac:dyDescent="0.3">
      <c r="A382" s="87" t="s">
        <v>389</v>
      </c>
      <c r="B382" s="238" t="s">
        <v>67</v>
      </c>
      <c r="C382" s="252" t="s">
        <v>16</v>
      </c>
      <c r="D382" s="41">
        <v>51.66</v>
      </c>
      <c r="E382" s="41">
        <v>11.53</v>
      </c>
      <c r="F382" s="116">
        <f t="shared" ref="F382:F414" si="14">(G382+H382)/2</f>
        <v>5137.5</v>
      </c>
      <c r="G382" s="27">
        <v>5500</v>
      </c>
      <c r="H382" s="112">
        <v>4775</v>
      </c>
      <c r="I382" s="97" t="s">
        <v>52</v>
      </c>
      <c r="J382" s="40" t="s">
        <v>69</v>
      </c>
      <c r="K382" s="417" t="s">
        <v>21</v>
      </c>
      <c r="L382" s="17" t="s">
        <v>69</v>
      </c>
      <c r="M382" s="108" t="s">
        <v>75</v>
      </c>
      <c r="N382" s="239" t="s">
        <v>3298</v>
      </c>
      <c r="O382" s="205" t="s">
        <v>3352</v>
      </c>
    </row>
    <row r="383" spans="1:15" s="45" customFormat="1" ht="15.75" thickBot="1" x14ac:dyDescent="0.3">
      <c r="A383" s="87" t="s">
        <v>389</v>
      </c>
      <c r="B383" s="238" t="s">
        <v>67</v>
      </c>
      <c r="C383" s="252" t="s">
        <v>16</v>
      </c>
      <c r="D383" s="41">
        <v>51.66</v>
      </c>
      <c r="E383" s="41">
        <v>11.53</v>
      </c>
      <c r="F383" s="116">
        <f t="shared" si="14"/>
        <v>5250</v>
      </c>
      <c r="G383" s="90">
        <v>5500</v>
      </c>
      <c r="H383" s="90">
        <v>5000</v>
      </c>
      <c r="I383" s="174" t="s">
        <v>43</v>
      </c>
      <c r="J383" s="40" t="s">
        <v>69</v>
      </c>
      <c r="K383" s="417" t="s">
        <v>21</v>
      </c>
      <c r="L383" s="17" t="s">
        <v>69</v>
      </c>
      <c r="M383" s="108" t="s">
        <v>77</v>
      </c>
      <c r="N383" s="230" t="s">
        <v>3300</v>
      </c>
      <c r="O383" s="205" t="s">
        <v>3352</v>
      </c>
    </row>
    <row r="384" spans="1:15" s="45" customFormat="1" x14ac:dyDescent="0.25">
      <c r="A384" s="87" t="s">
        <v>389</v>
      </c>
      <c r="B384" s="238" t="s">
        <v>117</v>
      </c>
      <c r="C384" s="252" t="s">
        <v>16</v>
      </c>
      <c r="D384" s="41">
        <v>51.89</v>
      </c>
      <c r="E384" s="41">
        <v>11.04</v>
      </c>
      <c r="F384" s="116">
        <f t="shared" si="14"/>
        <v>5183</v>
      </c>
      <c r="G384" s="27">
        <v>5207</v>
      </c>
      <c r="H384" s="112">
        <v>5159</v>
      </c>
      <c r="I384" s="97" t="s">
        <v>10</v>
      </c>
      <c r="J384" s="40" t="s">
        <v>69</v>
      </c>
      <c r="K384" s="417" t="s">
        <v>21</v>
      </c>
      <c r="L384" s="17" t="s">
        <v>69</v>
      </c>
      <c r="M384" s="108" t="s">
        <v>140</v>
      </c>
      <c r="N384" s="230" t="s">
        <v>727</v>
      </c>
      <c r="O384" s="205" t="s">
        <v>3394</v>
      </c>
    </row>
    <row r="385" spans="1:15" s="45" customFormat="1" x14ac:dyDescent="0.25">
      <c r="A385" s="87" t="s">
        <v>389</v>
      </c>
      <c r="B385" s="237" t="s">
        <v>117</v>
      </c>
      <c r="C385" s="252" t="s">
        <v>16</v>
      </c>
      <c r="D385" s="41">
        <v>51.89</v>
      </c>
      <c r="E385" s="41">
        <v>11.04</v>
      </c>
      <c r="F385" s="116">
        <f t="shared" si="14"/>
        <v>5176</v>
      </c>
      <c r="G385" s="17">
        <v>5295</v>
      </c>
      <c r="H385" s="112">
        <v>5057</v>
      </c>
      <c r="I385" s="97" t="s">
        <v>7</v>
      </c>
      <c r="J385" s="40" t="s">
        <v>69</v>
      </c>
      <c r="K385" s="417" t="s">
        <v>21</v>
      </c>
      <c r="L385" s="17" t="s">
        <v>69</v>
      </c>
      <c r="M385" s="108" t="s">
        <v>137</v>
      </c>
      <c r="N385" s="230" t="s">
        <v>763</v>
      </c>
      <c r="O385" s="205" t="s">
        <v>3433</v>
      </c>
    </row>
    <row r="386" spans="1:15" s="45" customFormat="1" x14ac:dyDescent="0.25">
      <c r="A386" s="87" t="s">
        <v>3432</v>
      </c>
      <c r="B386" s="237" t="s">
        <v>117</v>
      </c>
      <c r="C386" s="252" t="s">
        <v>16</v>
      </c>
      <c r="D386" s="41">
        <v>51.89</v>
      </c>
      <c r="E386" s="41">
        <v>11.04</v>
      </c>
      <c r="F386" s="116">
        <f t="shared" si="14"/>
        <v>5087</v>
      </c>
      <c r="G386" s="17">
        <v>5211</v>
      </c>
      <c r="H386" s="112">
        <v>4963</v>
      </c>
      <c r="I386" s="97" t="s">
        <v>132</v>
      </c>
      <c r="J386" s="40" t="s">
        <v>133</v>
      </c>
      <c r="K386" s="417" t="s">
        <v>21</v>
      </c>
      <c r="L386" s="17" t="s">
        <v>14</v>
      </c>
      <c r="M386" s="231" t="s">
        <v>3299</v>
      </c>
      <c r="N386" s="230" t="s">
        <v>134</v>
      </c>
      <c r="O386" s="208" t="s">
        <v>3407</v>
      </c>
    </row>
    <row r="387" spans="1:15" s="45" customFormat="1" x14ac:dyDescent="0.25">
      <c r="A387" s="87" t="s">
        <v>378</v>
      </c>
      <c r="B387" s="237" t="s">
        <v>3332</v>
      </c>
      <c r="C387" s="252" t="s">
        <v>16</v>
      </c>
      <c r="D387" s="90">
        <v>52.147582399999997</v>
      </c>
      <c r="E387" s="90">
        <v>11.220675799999899</v>
      </c>
      <c r="F387" s="116">
        <f t="shared" si="14"/>
        <v>5250</v>
      </c>
      <c r="G387" s="90">
        <v>5500</v>
      </c>
      <c r="H387" s="90">
        <v>5000</v>
      </c>
      <c r="I387" s="97" t="s">
        <v>3333</v>
      </c>
      <c r="J387" s="40" t="s">
        <v>69</v>
      </c>
      <c r="K387" s="417" t="s">
        <v>21</v>
      </c>
      <c r="L387" s="17" t="s">
        <v>69</v>
      </c>
      <c r="M387" s="108" t="s">
        <v>3334</v>
      </c>
      <c r="N387" s="230" t="s">
        <v>3335</v>
      </c>
      <c r="O387" s="205" t="s">
        <v>3336</v>
      </c>
    </row>
    <row r="388" spans="1:15" s="45" customFormat="1" x14ac:dyDescent="0.25">
      <c r="A388" s="87" t="s">
        <v>378</v>
      </c>
      <c r="B388" s="237" t="s">
        <v>3337</v>
      </c>
      <c r="C388" s="252" t="s">
        <v>16</v>
      </c>
      <c r="D388" s="528">
        <v>49.691463200000001</v>
      </c>
      <c r="E388" s="528">
        <v>8.1511565000000701</v>
      </c>
      <c r="F388" s="116">
        <f t="shared" si="14"/>
        <v>5250</v>
      </c>
      <c r="G388" s="90">
        <v>5500</v>
      </c>
      <c r="H388" s="90">
        <v>5000</v>
      </c>
      <c r="I388" s="97" t="s">
        <v>13</v>
      </c>
      <c r="J388" s="40" t="s">
        <v>69</v>
      </c>
      <c r="K388" s="417" t="s">
        <v>21</v>
      </c>
      <c r="L388" s="17" t="s">
        <v>69</v>
      </c>
      <c r="M388" s="108" t="s">
        <v>3338</v>
      </c>
      <c r="N388" s="230" t="s">
        <v>3339</v>
      </c>
      <c r="O388" s="205" t="s">
        <v>3336</v>
      </c>
    </row>
    <row r="389" spans="1:15" s="45" customFormat="1" ht="15.75" thickBot="1" x14ac:dyDescent="0.3">
      <c r="A389" s="87" t="s">
        <v>378</v>
      </c>
      <c r="B389" s="237" t="s">
        <v>3337</v>
      </c>
      <c r="C389" s="252" t="s">
        <v>16</v>
      </c>
      <c r="D389" s="528">
        <v>49.691463200000001</v>
      </c>
      <c r="E389" s="528">
        <v>8.1511565000000701</v>
      </c>
      <c r="F389" s="116">
        <f t="shared" si="14"/>
        <v>5250</v>
      </c>
      <c r="G389" s="90">
        <v>5500</v>
      </c>
      <c r="H389" s="90">
        <v>5000</v>
      </c>
      <c r="I389" s="97" t="s">
        <v>3333</v>
      </c>
      <c r="J389" s="40" t="s">
        <v>69</v>
      </c>
      <c r="K389" s="417" t="s">
        <v>21</v>
      </c>
      <c r="L389" s="17" t="s">
        <v>69</v>
      </c>
      <c r="M389" s="108" t="s">
        <v>3340</v>
      </c>
      <c r="N389" s="230" t="s">
        <v>3344</v>
      </c>
      <c r="O389" s="205" t="s">
        <v>3336</v>
      </c>
    </row>
    <row r="390" spans="1:15" s="45" customFormat="1" ht="15.75" thickBot="1" x14ac:dyDescent="0.3">
      <c r="A390" s="87" t="s">
        <v>378</v>
      </c>
      <c r="B390" s="237" t="s">
        <v>3337</v>
      </c>
      <c r="C390" s="252" t="s">
        <v>16</v>
      </c>
      <c r="D390" s="528">
        <v>49.691463200000001</v>
      </c>
      <c r="E390" s="528">
        <v>8.1511565000000701</v>
      </c>
      <c r="F390" s="116">
        <f t="shared" si="14"/>
        <v>5250</v>
      </c>
      <c r="G390" s="90">
        <v>5500</v>
      </c>
      <c r="H390" s="90">
        <v>5000</v>
      </c>
      <c r="I390" s="174" t="s">
        <v>43</v>
      </c>
      <c r="J390" s="40" t="s">
        <v>69</v>
      </c>
      <c r="K390" s="417" t="s">
        <v>21</v>
      </c>
      <c r="L390" s="17" t="s">
        <v>69</v>
      </c>
      <c r="M390" s="108" t="s">
        <v>3342</v>
      </c>
      <c r="N390" s="230" t="s">
        <v>3346</v>
      </c>
      <c r="O390" s="205" t="s">
        <v>3336</v>
      </c>
    </row>
    <row r="391" spans="1:15" s="45" customFormat="1" ht="15.75" thickBot="1" x14ac:dyDescent="0.3">
      <c r="A391" s="87" t="s">
        <v>378</v>
      </c>
      <c r="B391" s="237" t="s">
        <v>3337</v>
      </c>
      <c r="C391" s="252" t="s">
        <v>16</v>
      </c>
      <c r="D391" s="528">
        <v>49.691463200000001</v>
      </c>
      <c r="E391" s="528">
        <v>8.1511565000000701</v>
      </c>
      <c r="F391" s="116">
        <f t="shared" si="14"/>
        <v>5250</v>
      </c>
      <c r="G391" s="90">
        <v>5500</v>
      </c>
      <c r="H391" s="90">
        <v>5000</v>
      </c>
      <c r="I391" s="174" t="s">
        <v>43</v>
      </c>
      <c r="J391" s="40" t="s">
        <v>69</v>
      </c>
      <c r="K391" s="417" t="s">
        <v>21</v>
      </c>
      <c r="L391" s="17" t="s">
        <v>69</v>
      </c>
      <c r="M391" s="108" t="s">
        <v>3343</v>
      </c>
      <c r="N391" s="230" t="s">
        <v>3347</v>
      </c>
      <c r="O391" s="205" t="s">
        <v>3336</v>
      </c>
    </row>
    <row r="392" spans="1:15" s="45" customFormat="1" x14ac:dyDescent="0.25">
      <c r="A392" s="87" t="s">
        <v>3331</v>
      </c>
      <c r="B392" s="237" t="s">
        <v>3337</v>
      </c>
      <c r="C392" s="252" t="s">
        <v>16</v>
      </c>
      <c r="D392" s="528">
        <v>49.691463200000001</v>
      </c>
      <c r="E392" s="528">
        <v>8.1511565000000701</v>
      </c>
      <c r="F392" s="116">
        <f t="shared" si="14"/>
        <v>5250</v>
      </c>
      <c r="G392" s="90">
        <v>5500</v>
      </c>
      <c r="H392" s="90">
        <v>5000</v>
      </c>
      <c r="I392" s="97" t="s">
        <v>109</v>
      </c>
      <c r="J392" s="40" t="s">
        <v>69</v>
      </c>
      <c r="K392" s="417" t="s">
        <v>21</v>
      </c>
      <c r="L392" s="17" t="s">
        <v>69</v>
      </c>
      <c r="M392" s="108" t="s">
        <v>3341</v>
      </c>
      <c r="N392" s="230" t="s">
        <v>3345</v>
      </c>
      <c r="O392" s="205" t="s">
        <v>3336</v>
      </c>
    </row>
    <row r="393" spans="1:15" s="45" customFormat="1" x14ac:dyDescent="0.25">
      <c r="A393" s="87" t="s">
        <v>3331</v>
      </c>
      <c r="B393" s="237" t="s">
        <v>3353</v>
      </c>
      <c r="C393" s="252" t="s">
        <v>16</v>
      </c>
      <c r="D393" s="90">
        <v>52.866667</v>
      </c>
      <c r="E393" s="90">
        <v>11.75</v>
      </c>
      <c r="F393" s="116">
        <f t="shared" si="14"/>
        <v>5250</v>
      </c>
      <c r="G393" s="90">
        <v>5500</v>
      </c>
      <c r="H393" s="90">
        <v>5000</v>
      </c>
      <c r="I393" s="126" t="s">
        <v>34</v>
      </c>
      <c r="J393" s="40" t="s">
        <v>69</v>
      </c>
      <c r="K393" s="417" t="s">
        <v>21</v>
      </c>
      <c r="L393" s="17" t="s">
        <v>69</v>
      </c>
      <c r="M393" s="108" t="s">
        <v>3354</v>
      </c>
      <c r="N393" s="230"/>
      <c r="O393" s="205" t="s">
        <v>3336</v>
      </c>
    </row>
    <row r="394" spans="1:15" s="45" customFormat="1" x14ac:dyDescent="0.25">
      <c r="A394" s="87" t="s">
        <v>3331</v>
      </c>
      <c r="B394" s="205" t="s">
        <v>929</v>
      </c>
      <c r="C394" s="252" t="s">
        <v>16</v>
      </c>
      <c r="D394" s="41">
        <v>49.39</v>
      </c>
      <c r="E394" s="41">
        <v>8.57</v>
      </c>
      <c r="F394" s="116">
        <f t="shared" si="14"/>
        <v>5250</v>
      </c>
      <c r="G394" s="90">
        <v>5500</v>
      </c>
      <c r="H394" s="90">
        <v>5000</v>
      </c>
      <c r="I394" s="126" t="s">
        <v>109</v>
      </c>
      <c r="J394" s="40" t="s">
        <v>69</v>
      </c>
      <c r="K394" s="417" t="s">
        <v>21</v>
      </c>
      <c r="L394" s="17" t="s">
        <v>69</v>
      </c>
      <c r="M394" s="108" t="s">
        <v>3348</v>
      </c>
      <c r="N394" s="239" t="s">
        <v>972</v>
      </c>
      <c r="O394" s="205" t="s">
        <v>3126</v>
      </c>
    </row>
    <row r="395" spans="1:15" s="45" customFormat="1" x14ac:dyDescent="0.25">
      <c r="A395" s="87" t="s">
        <v>3331</v>
      </c>
      <c r="B395" s="205" t="s">
        <v>929</v>
      </c>
      <c r="C395" s="252" t="s">
        <v>16</v>
      </c>
      <c r="D395" s="41">
        <v>49.39</v>
      </c>
      <c r="E395" s="41">
        <v>8.57</v>
      </c>
      <c r="F395" s="116">
        <f t="shared" si="14"/>
        <v>5250</v>
      </c>
      <c r="G395" s="90">
        <v>5500</v>
      </c>
      <c r="H395" s="90">
        <v>5000</v>
      </c>
      <c r="I395" s="126" t="s">
        <v>109</v>
      </c>
      <c r="J395" s="40" t="s">
        <v>69</v>
      </c>
      <c r="K395" s="417" t="s">
        <v>21</v>
      </c>
      <c r="L395" s="17" t="s">
        <v>69</v>
      </c>
      <c r="M395" s="108" t="s">
        <v>3349</v>
      </c>
      <c r="N395" s="239" t="s">
        <v>972</v>
      </c>
      <c r="O395" s="205" t="s">
        <v>3126</v>
      </c>
    </row>
    <row r="396" spans="1:15" s="45" customFormat="1" x14ac:dyDescent="0.25">
      <c r="A396" s="87" t="s">
        <v>378</v>
      </c>
      <c r="B396" s="205" t="s">
        <v>929</v>
      </c>
      <c r="C396" s="252" t="s">
        <v>16</v>
      </c>
      <c r="D396" s="41">
        <v>49.39</v>
      </c>
      <c r="E396" s="41">
        <v>8.57</v>
      </c>
      <c r="F396" s="116">
        <f t="shared" si="14"/>
        <v>5250</v>
      </c>
      <c r="G396" s="90">
        <v>5500</v>
      </c>
      <c r="H396" s="90">
        <v>5000</v>
      </c>
      <c r="I396" s="126" t="s">
        <v>3333</v>
      </c>
      <c r="J396" s="40" t="s">
        <v>69</v>
      </c>
      <c r="K396" s="417" t="s">
        <v>21</v>
      </c>
      <c r="L396" s="17" t="s">
        <v>69</v>
      </c>
      <c r="M396" s="108" t="s">
        <v>3350</v>
      </c>
      <c r="N396" s="239" t="s">
        <v>3297</v>
      </c>
      <c r="O396" s="205" t="s">
        <v>3126</v>
      </c>
    </row>
    <row r="397" spans="1:15" s="45" customFormat="1" x14ac:dyDescent="0.25">
      <c r="A397" s="87" t="s">
        <v>378</v>
      </c>
      <c r="B397" s="205" t="s">
        <v>929</v>
      </c>
      <c r="C397" s="252" t="s">
        <v>16</v>
      </c>
      <c r="D397" s="41">
        <v>49.39</v>
      </c>
      <c r="E397" s="41">
        <v>8.57</v>
      </c>
      <c r="F397" s="116">
        <f t="shared" si="14"/>
        <v>5250</v>
      </c>
      <c r="G397" s="90">
        <v>5500</v>
      </c>
      <c r="H397" s="90">
        <v>5000</v>
      </c>
      <c r="I397" s="126" t="s">
        <v>109</v>
      </c>
      <c r="J397" s="40" t="s">
        <v>69</v>
      </c>
      <c r="K397" s="417" t="s">
        <v>21</v>
      </c>
      <c r="L397" s="17" t="s">
        <v>69</v>
      </c>
      <c r="M397" s="108" t="s">
        <v>3351</v>
      </c>
      <c r="N397" s="239" t="s">
        <v>972</v>
      </c>
      <c r="O397" s="205" t="s">
        <v>3126</v>
      </c>
    </row>
    <row r="398" spans="1:15" s="45" customFormat="1" x14ac:dyDescent="0.25">
      <c r="A398" s="87" t="s">
        <v>378</v>
      </c>
      <c r="B398" s="205" t="s">
        <v>3358</v>
      </c>
      <c r="C398" s="252" t="s">
        <v>16</v>
      </c>
      <c r="D398" s="528">
        <v>48.933435699999997</v>
      </c>
      <c r="E398" s="528">
        <v>8.9612079999999406</v>
      </c>
      <c r="F398" s="116">
        <f t="shared" si="14"/>
        <v>5250</v>
      </c>
      <c r="G398" s="90">
        <v>5500</v>
      </c>
      <c r="H398" s="90">
        <v>5000</v>
      </c>
      <c r="I398" s="126" t="s">
        <v>273</v>
      </c>
      <c r="J398" s="40" t="s">
        <v>69</v>
      </c>
      <c r="K398" s="417" t="s">
        <v>21</v>
      </c>
      <c r="L398" s="17" t="s">
        <v>69</v>
      </c>
      <c r="M398" s="108" t="s">
        <v>3359</v>
      </c>
      <c r="N398" s="230"/>
      <c r="O398" s="205" t="s">
        <v>3336</v>
      </c>
    </row>
    <row r="399" spans="1:15" s="45" customFormat="1" x14ac:dyDescent="0.25">
      <c r="A399" s="87" t="s">
        <v>405</v>
      </c>
      <c r="B399" s="237" t="s">
        <v>88</v>
      </c>
      <c r="C399" s="252" t="s">
        <v>16</v>
      </c>
      <c r="D399" s="41">
        <v>51.870832999999998</v>
      </c>
      <c r="E399" s="41">
        <v>10.908333000000001</v>
      </c>
      <c r="F399" s="116">
        <f t="shared" si="14"/>
        <v>5122</v>
      </c>
      <c r="G399" s="17">
        <v>5171</v>
      </c>
      <c r="H399" s="112">
        <v>5073</v>
      </c>
      <c r="I399" s="97" t="s">
        <v>32</v>
      </c>
      <c r="J399" s="40" t="s">
        <v>69</v>
      </c>
      <c r="K399" s="417" t="s">
        <v>21</v>
      </c>
      <c r="L399" s="17" t="s">
        <v>3390</v>
      </c>
      <c r="M399" s="108" t="s">
        <v>92</v>
      </c>
      <c r="N399" s="230" t="s">
        <v>3274</v>
      </c>
      <c r="O399" s="205" t="s">
        <v>3392</v>
      </c>
    </row>
    <row r="400" spans="1:15" s="2" customFormat="1" x14ac:dyDescent="0.25">
      <c r="A400" s="87" t="s">
        <v>405</v>
      </c>
      <c r="B400" s="237" t="s">
        <v>88</v>
      </c>
      <c r="C400" s="252" t="s">
        <v>16</v>
      </c>
      <c r="D400" s="41">
        <v>51.870832999999998</v>
      </c>
      <c r="E400" s="41">
        <v>10.908333000000001</v>
      </c>
      <c r="F400" s="116">
        <f t="shared" si="14"/>
        <v>5038</v>
      </c>
      <c r="G400" s="17">
        <v>5078</v>
      </c>
      <c r="H400" s="112">
        <v>4998</v>
      </c>
      <c r="I400" s="97" t="s">
        <v>32</v>
      </c>
      <c r="J400" s="40" t="s">
        <v>69</v>
      </c>
      <c r="K400" s="417" t="s">
        <v>21</v>
      </c>
      <c r="L400" s="17" t="s">
        <v>14</v>
      </c>
      <c r="M400" s="108" t="s">
        <v>93</v>
      </c>
      <c r="N400" s="230" t="s">
        <v>3275</v>
      </c>
      <c r="O400" s="205" t="s">
        <v>3398</v>
      </c>
    </row>
    <row r="401" spans="1:15" s="45" customFormat="1" ht="15.75" thickBot="1" x14ac:dyDescent="0.3">
      <c r="A401" s="87" t="s">
        <v>405</v>
      </c>
      <c r="B401" s="237" t="s">
        <v>88</v>
      </c>
      <c r="C401" s="252" t="s">
        <v>16</v>
      </c>
      <c r="D401" s="41">
        <v>51.870832999999998</v>
      </c>
      <c r="E401" s="41">
        <v>10.908333000000001</v>
      </c>
      <c r="F401" s="116">
        <f t="shared" si="14"/>
        <v>5050.5</v>
      </c>
      <c r="G401" s="17">
        <v>5079</v>
      </c>
      <c r="H401" s="112">
        <v>5022</v>
      </c>
      <c r="I401" s="97" t="s">
        <v>78</v>
      </c>
      <c r="J401" s="40" t="s">
        <v>69</v>
      </c>
      <c r="K401" s="417" t="s">
        <v>21</v>
      </c>
      <c r="L401" s="17" t="s">
        <v>2</v>
      </c>
      <c r="M401" s="108" t="s">
        <v>104</v>
      </c>
      <c r="N401" s="230" t="s">
        <v>3276</v>
      </c>
      <c r="O401" s="205" t="s">
        <v>3397</v>
      </c>
    </row>
    <row r="402" spans="1:15" s="45" customFormat="1" ht="15.75" thickBot="1" x14ac:dyDescent="0.3">
      <c r="A402" s="87" t="s">
        <v>405</v>
      </c>
      <c r="B402" s="237" t="s">
        <v>88</v>
      </c>
      <c r="C402" s="252" t="s">
        <v>16</v>
      </c>
      <c r="D402" s="41">
        <v>51.870832999999998</v>
      </c>
      <c r="E402" s="41">
        <v>10.908333000000001</v>
      </c>
      <c r="F402" s="116">
        <f t="shared" si="14"/>
        <v>5075</v>
      </c>
      <c r="G402" s="17">
        <v>5500</v>
      </c>
      <c r="H402" s="112">
        <v>4650</v>
      </c>
      <c r="I402" s="174" t="s">
        <v>43</v>
      </c>
      <c r="J402" s="40" t="s">
        <v>69</v>
      </c>
      <c r="K402" s="417" t="s">
        <v>21</v>
      </c>
      <c r="L402" s="17" t="s">
        <v>2</v>
      </c>
      <c r="M402" s="108" t="s">
        <v>98</v>
      </c>
      <c r="N402" s="230" t="s">
        <v>3277</v>
      </c>
      <c r="O402" s="205" t="s">
        <v>3396</v>
      </c>
    </row>
    <row r="403" spans="1:15" s="45" customFormat="1" x14ac:dyDescent="0.25">
      <c r="A403" s="87" t="s">
        <v>405</v>
      </c>
      <c r="B403" s="237" t="s">
        <v>88</v>
      </c>
      <c r="C403" s="252" t="s">
        <v>16</v>
      </c>
      <c r="D403" s="41">
        <v>51.870832999999998</v>
      </c>
      <c r="E403" s="41">
        <v>10.908333000000001</v>
      </c>
      <c r="F403" s="116">
        <f t="shared" si="14"/>
        <v>5024</v>
      </c>
      <c r="G403" s="17">
        <v>5064</v>
      </c>
      <c r="H403" s="112">
        <v>4984</v>
      </c>
      <c r="I403" s="97" t="s">
        <v>102</v>
      </c>
      <c r="J403" s="40" t="s">
        <v>69</v>
      </c>
      <c r="K403" s="417" t="s">
        <v>21</v>
      </c>
      <c r="L403" s="17" t="s">
        <v>3390</v>
      </c>
      <c r="M403" s="108" t="s">
        <v>103</v>
      </c>
      <c r="N403" s="230" t="s">
        <v>3278</v>
      </c>
      <c r="O403" s="205" t="s">
        <v>3393</v>
      </c>
    </row>
    <row r="404" spans="1:15" s="45" customFormat="1" x14ac:dyDescent="0.25">
      <c r="A404" s="87" t="s">
        <v>3355</v>
      </c>
      <c r="B404" s="237" t="s">
        <v>3356</v>
      </c>
      <c r="C404" s="252" t="s">
        <v>16</v>
      </c>
      <c r="D404" s="90">
        <v>51.932240099999902</v>
      </c>
      <c r="E404" s="90">
        <v>11.513637599999999</v>
      </c>
      <c r="F404" s="116">
        <f t="shared" si="14"/>
        <v>5250</v>
      </c>
      <c r="G404" s="90">
        <v>5500</v>
      </c>
      <c r="H404" s="90">
        <v>5000</v>
      </c>
      <c r="I404" s="126" t="s">
        <v>87</v>
      </c>
      <c r="J404" s="40" t="s">
        <v>69</v>
      </c>
      <c r="K404" s="417" t="s">
        <v>21</v>
      </c>
      <c r="L404" s="17" t="s">
        <v>69</v>
      </c>
      <c r="M404" s="108" t="s">
        <v>3357</v>
      </c>
      <c r="N404" s="230"/>
      <c r="O404" s="205" t="s">
        <v>3336</v>
      </c>
    </row>
    <row r="405" spans="1:15" s="45" customFormat="1" x14ac:dyDescent="0.25">
      <c r="A405" s="87" t="s">
        <v>390</v>
      </c>
      <c r="B405" s="238" t="s">
        <v>88</v>
      </c>
      <c r="C405" s="252" t="s">
        <v>16</v>
      </c>
      <c r="D405" s="41">
        <v>51.870832999999998</v>
      </c>
      <c r="E405" s="41">
        <v>10.908333000000001</v>
      </c>
      <c r="F405" s="116">
        <f t="shared" si="14"/>
        <v>5183</v>
      </c>
      <c r="G405" s="27">
        <v>5207</v>
      </c>
      <c r="H405" s="115">
        <v>5159</v>
      </c>
      <c r="I405" s="97" t="s">
        <v>18</v>
      </c>
      <c r="J405" s="40" t="s">
        <v>69</v>
      </c>
      <c r="K405" s="417" t="s">
        <v>21</v>
      </c>
      <c r="L405" s="17" t="s">
        <v>2</v>
      </c>
      <c r="M405" s="108" t="s">
        <v>89</v>
      </c>
      <c r="N405" s="230" t="s">
        <v>3279</v>
      </c>
      <c r="O405" s="205" t="s">
        <v>3399</v>
      </c>
    </row>
    <row r="406" spans="1:15" s="45" customFormat="1" ht="15.75" thickBot="1" x14ac:dyDescent="0.3">
      <c r="A406" s="87" t="s">
        <v>390</v>
      </c>
      <c r="B406" s="237" t="s">
        <v>88</v>
      </c>
      <c r="C406" s="252" t="s">
        <v>16</v>
      </c>
      <c r="D406" s="41">
        <v>51.870832999999998</v>
      </c>
      <c r="E406" s="41">
        <v>10.908333000000001</v>
      </c>
      <c r="F406" s="116">
        <f t="shared" si="14"/>
        <v>5038.5</v>
      </c>
      <c r="G406" s="17">
        <v>5079</v>
      </c>
      <c r="H406" s="112">
        <v>4998</v>
      </c>
      <c r="I406" s="97" t="s">
        <v>105</v>
      </c>
      <c r="J406" s="40" t="s">
        <v>69</v>
      </c>
      <c r="K406" s="417" t="s">
        <v>21</v>
      </c>
      <c r="L406" s="17" t="s">
        <v>2</v>
      </c>
      <c r="M406" s="108" t="s">
        <v>107</v>
      </c>
      <c r="N406" s="230" t="s">
        <v>3280</v>
      </c>
      <c r="O406" s="208" t="s">
        <v>3400</v>
      </c>
    </row>
    <row r="407" spans="1:15" ht="15.75" thickBot="1" x14ac:dyDescent="0.3">
      <c r="A407" s="87" t="s">
        <v>390</v>
      </c>
      <c r="B407" s="237" t="s">
        <v>88</v>
      </c>
      <c r="C407" s="252" t="s">
        <v>16</v>
      </c>
      <c r="D407" s="41">
        <v>51.870832999999998</v>
      </c>
      <c r="E407" s="41">
        <v>10.908333000000001</v>
      </c>
      <c r="F407" s="116">
        <f t="shared" si="14"/>
        <v>4958</v>
      </c>
      <c r="G407" s="17">
        <v>5000</v>
      </c>
      <c r="H407" s="112">
        <v>4916</v>
      </c>
      <c r="I407" s="174" t="s">
        <v>43</v>
      </c>
      <c r="J407" s="40" t="s">
        <v>69</v>
      </c>
      <c r="K407" s="417" t="s">
        <v>21</v>
      </c>
      <c r="L407" s="17" t="s">
        <v>2885</v>
      </c>
      <c r="M407" s="108" t="s">
        <v>99</v>
      </c>
      <c r="N407" s="230" t="s">
        <v>3281</v>
      </c>
      <c r="O407" s="208" t="s">
        <v>3401</v>
      </c>
    </row>
    <row r="408" spans="1:15" x14ac:dyDescent="0.25">
      <c r="A408" s="87" t="s">
        <v>390</v>
      </c>
      <c r="B408" s="237" t="s">
        <v>88</v>
      </c>
      <c r="C408" s="252" t="s">
        <v>16</v>
      </c>
      <c r="D408" s="41">
        <v>51.870832999999998</v>
      </c>
      <c r="E408" s="41">
        <v>10.908333000000001</v>
      </c>
      <c r="F408" s="116">
        <f t="shared" si="14"/>
        <v>4951.5</v>
      </c>
      <c r="G408" s="17">
        <v>4997</v>
      </c>
      <c r="H408" s="112">
        <v>4906</v>
      </c>
      <c r="I408" s="97" t="s">
        <v>105</v>
      </c>
      <c r="J408" s="40" t="s">
        <v>69</v>
      </c>
      <c r="K408" s="417" t="s">
        <v>21</v>
      </c>
      <c r="L408" s="17" t="s">
        <v>2885</v>
      </c>
      <c r="M408" s="108" t="s">
        <v>108</v>
      </c>
      <c r="N408" s="230" t="s">
        <v>3282</v>
      </c>
      <c r="O408" s="205" t="s">
        <v>3394</v>
      </c>
    </row>
    <row r="409" spans="1:15" x14ac:dyDescent="0.25">
      <c r="A409" s="87" t="s">
        <v>377</v>
      </c>
      <c r="B409" s="237" t="s">
        <v>88</v>
      </c>
      <c r="C409" s="252" t="s">
        <v>16</v>
      </c>
      <c r="D409" s="41">
        <v>51.870832999999998</v>
      </c>
      <c r="E409" s="41">
        <v>10.908333000000001</v>
      </c>
      <c r="F409" s="116">
        <f t="shared" si="14"/>
        <v>5137.5</v>
      </c>
      <c r="G409" s="321">
        <v>5500</v>
      </c>
      <c r="H409" s="321">
        <v>4775</v>
      </c>
      <c r="I409" s="97" t="s">
        <v>18</v>
      </c>
      <c r="J409" s="40" t="s">
        <v>69</v>
      </c>
      <c r="K409" s="417" t="s">
        <v>21</v>
      </c>
      <c r="L409" s="17" t="s">
        <v>69</v>
      </c>
      <c r="M409" s="108" t="s">
        <v>3388</v>
      </c>
      <c r="N409" s="230" t="s">
        <v>3389</v>
      </c>
      <c r="O409" s="205" t="s">
        <v>3126</v>
      </c>
    </row>
    <row r="410" spans="1:15" s="45" customFormat="1" x14ac:dyDescent="0.25">
      <c r="A410" s="87" t="s">
        <v>390</v>
      </c>
      <c r="B410" s="238" t="s">
        <v>88</v>
      </c>
      <c r="C410" s="252" t="s">
        <v>16</v>
      </c>
      <c r="D410" s="41">
        <v>51.870832999999998</v>
      </c>
      <c r="E410" s="41">
        <v>10.908333000000001</v>
      </c>
      <c r="F410" s="116">
        <f t="shared" si="14"/>
        <v>5263</v>
      </c>
      <c r="G410" s="27">
        <v>5300</v>
      </c>
      <c r="H410" s="115">
        <v>5226</v>
      </c>
      <c r="I410" s="97" t="s">
        <v>32</v>
      </c>
      <c r="J410" s="40" t="s">
        <v>69</v>
      </c>
      <c r="K410" s="417" t="s">
        <v>21</v>
      </c>
      <c r="L410" s="17" t="s">
        <v>69</v>
      </c>
      <c r="M410" s="108" t="s">
        <v>91</v>
      </c>
      <c r="N410" s="230" t="s">
        <v>3283</v>
      </c>
      <c r="O410" s="205" t="s">
        <v>3403</v>
      </c>
    </row>
    <row r="411" spans="1:15" s="45" customFormat="1" ht="15.75" thickBot="1" x14ac:dyDescent="0.3">
      <c r="A411" s="87" t="s">
        <v>390</v>
      </c>
      <c r="B411" s="238" t="s">
        <v>88</v>
      </c>
      <c r="C411" s="252" t="s">
        <v>16</v>
      </c>
      <c r="D411" s="41">
        <v>51.870832999999998</v>
      </c>
      <c r="E411" s="41">
        <v>10.908333000000001</v>
      </c>
      <c r="F411" s="116">
        <f t="shared" si="14"/>
        <v>5183</v>
      </c>
      <c r="G411" s="27">
        <v>5207</v>
      </c>
      <c r="H411" s="115">
        <v>5159</v>
      </c>
      <c r="I411" s="97" t="s">
        <v>109</v>
      </c>
      <c r="J411" s="40" t="s">
        <v>69</v>
      </c>
      <c r="K411" s="417" t="s">
        <v>21</v>
      </c>
      <c r="L411" s="17" t="s">
        <v>2</v>
      </c>
      <c r="M411" s="108" t="s">
        <v>110</v>
      </c>
      <c r="N411" s="230" t="s">
        <v>3284</v>
      </c>
      <c r="O411" s="208" t="s">
        <v>3402</v>
      </c>
    </row>
    <row r="412" spans="1:15" s="45" customFormat="1" ht="15.75" thickBot="1" x14ac:dyDescent="0.3">
      <c r="A412" s="87" t="s">
        <v>390</v>
      </c>
      <c r="B412" s="237" t="s">
        <v>88</v>
      </c>
      <c r="C412" s="252" t="s">
        <v>16</v>
      </c>
      <c r="D412" s="41">
        <v>51.870832999999998</v>
      </c>
      <c r="E412" s="41">
        <v>10.908333000000001</v>
      </c>
      <c r="F412" s="116">
        <f t="shared" si="14"/>
        <v>5137.5</v>
      </c>
      <c r="G412" s="17">
        <v>5500</v>
      </c>
      <c r="H412" s="112">
        <v>4775</v>
      </c>
      <c r="I412" s="174" t="s">
        <v>6</v>
      </c>
      <c r="J412" s="40" t="s">
        <v>69</v>
      </c>
      <c r="K412" s="417" t="s">
        <v>21</v>
      </c>
      <c r="L412" s="17" t="s">
        <v>14</v>
      </c>
      <c r="M412" s="108" t="s">
        <v>97</v>
      </c>
      <c r="N412" s="230" t="s">
        <v>3285</v>
      </c>
      <c r="O412" s="205" t="s">
        <v>3126</v>
      </c>
    </row>
    <row r="413" spans="1:15" s="45" customFormat="1" x14ac:dyDescent="0.25">
      <c r="A413" s="87" t="s">
        <v>390</v>
      </c>
      <c r="B413" s="237" t="s">
        <v>88</v>
      </c>
      <c r="C413" s="252" t="s">
        <v>16</v>
      </c>
      <c r="D413" s="41">
        <v>51.870832999999998</v>
      </c>
      <c r="E413" s="41">
        <v>10.908333000000001</v>
      </c>
      <c r="F413" s="116">
        <f t="shared" si="14"/>
        <v>5137.5</v>
      </c>
      <c r="G413" s="17">
        <v>5500</v>
      </c>
      <c r="H413" s="112">
        <v>4775</v>
      </c>
      <c r="I413" s="97" t="s">
        <v>34</v>
      </c>
      <c r="J413" s="40" t="s">
        <v>69</v>
      </c>
      <c r="K413" s="417" t="s">
        <v>21</v>
      </c>
      <c r="L413" s="17" t="s">
        <v>2</v>
      </c>
      <c r="M413" s="108" t="s">
        <v>96</v>
      </c>
      <c r="N413" s="230" t="s">
        <v>3286</v>
      </c>
      <c r="O413" s="205" t="s">
        <v>3126</v>
      </c>
    </row>
    <row r="414" spans="1:15" s="45" customFormat="1" x14ac:dyDescent="0.25">
      <c r="A414" s="87" t="s">
        <v>390</v>
      </c>
      <c r="B414" s="237" t="s">
        <v>88</v>
      </c>
      <c r="C414" s="252" t="s">
        <v>16</v>
      </c>
      <c r="D414" s="41">
        <v>51.870832999999998</v>
      </c>
      <c r="E414" s="41">
        <v>10.908333000000001</v>
      </c>
      <c r="F414" s="116">
        <f t="shared" si="14"/>
        <v>5137.5</v>
      </c>
      <c r="G414" s="17">
        <v>5500</v>
      </c>
      <c r="H414" s="112">
        <v>4775</v>
      </c>
      <c r="I414" s="240" t="s">
        <v>3406</v>
      </c>
      <c r="J414" s="40" t="s">
        <v>69</v>
      </c>
      <c r="K414" s="417" t="s">
        <v>21</v>
      </c>
      <c r="L414" s="17" t="s">
        <v>2</v>
      </c>
      <c r="M414" s="108" t="s">
        <v>113</v>
      </c>
      <c r="N414" s="230" t="s">
        <v>3287</v>
      </c>
      <c r="O414" s="205" t="s">
        <v>3395</v>
      </c>
    </row>
    <row r="415" spans="1:15" s="45" customFormat="1" x14ac:dyDescent="0.25">
      <c r="A415" s="87" t="s">
        <v>390</v>
      </c>
      <c r="B415" s="237" t="s">
        <v>88</v>
      </c>
      <c r="C415" s="252" t="s">
        <v>16</v>
      </c>
      <c r="D415" s="41">
        <v>51.870832999999998</v>
      </c>
      <c r="E415" s="41">
        <v>10.908333000000001</v>
      </c>
      <c r="F415" s="116">
        <f t="shared" ref="F415:F446" si="15">AVERAGE(G415:H415)</f>
        <v>5137.5</v>
      </c>
      <c r="G415" s="17">
        <v>5500</v>
      </c>
      <c r="H415" s="112">
        <v>4775</v>
      </c>
      <c r="I415" s="97" t="s">
        <v>60</v>
      </c>
      <c r="J415" s="40" t="s">
        <v>69</v>
      </c>
      <c r="K415" s="417" t="s">
        <v>21</v>
      </c>
      <c r="L415" s="17" t="s">
        <v>2885</v>
      </c>
      <c r="M415" s="108" t="s">
        <v>106</v>
      </c>
      <c r="N415" s="230" t="s">
        <v>3288</v>
      </c>
      <c r="O415" s="205" t="s">
        <v>3126</v>
      </c>
    </row>
    <row r="416" spans="1:15" s="45" customFormat="1" x14ac:dyDescent="0.25">
      <c r="A416" s="87" t="s">
        <v>390</v>
      </c>
      <c r="B416" s="237" t="s">
        <v>88</v>
      </c>
      <c r="C416" s="252" t="s">
        <v>16</v>
      </c>
      <c r="D416" s="41">
        <v>51.870832999999998</v>
      </c>
      <c r="E416" s="41">
        <v>10.908333000000001</v>
      </c>
      <c r="F416" s="116">
        <f t="shared" si="15"/>
        <v>5137.5</v>
      </c>
      <c r="G416" s="17">
        <v>5500</v>
      </c>
      <c r="H416" s="112">
        <v>4775</v>
      </c>
      <c r="I416" s="97" t="s">
        <v>87</v>
      </c>
      <c r="J416" s="40" t="s">
        <v>69</v>
      </c>
      <c r="K416" s="417" t="s">
        <v>21</v>
      </c>
      <c r="L416" s="17" t="s">
        <v>14</v>
      </c>
      <c r="M416" s="108" t="s">
        <v>116</v>
      </c>
      <c r="N416" s="230" t="s">
        <v>3289</v>
      </c>
      <c r="O416" s="205" t="s">
        <v>3126</v>
      </c>
    </row>
    <row r="417" spans="1:15" s="45" customFormat="1" x14ac:dyDescent="0.25">
      <c r="A417" s="87" t="s">
        <v>390</v>
      </c>
      <c r="B417" s="237" t="s">
        <v>88</v>
      </c>
      <c r="C417" s="252" t="s">
        <v>16</v>
      </c>
      <c r="D417" s="41">
        <v>51.870832999999998</v>
      </c>
      <c r="E417" s="41">
        <v>10.908333000000001</v>
      </c>
      <c r="F417" s="116">
        <f t="shared" si="15"/>
        <v>5137.5</v>
      </c>
      <c r="G417" s="17">
        <v>5500</v>
      </c>
      <c r="H417" s="112">
        <v>4775</v>
      </c>
      <c r="I417" s="97" t="s">
        <v>73</v>
      </c>
      <c r="J417" s="40" t="s">
        <v>69</v>
      </c>
      <c r="K417" s="417" t="s">
        <v>21</v>
      </c>
      <c r="L417" s="17" t="s">
        <v>3390</v>
      </c>
      <c r="M417" s="108" t="s">
        <v>112</v>
      </c>
      <c r="N417" s="230" t="s">
        <v>3290</v>
      </c>
      <c r="O417" s="205" t="s">
        <v>3126</v>
      </c>
    </row>
    <row r="418" spans="1:15" s="45" customFormat="1" x14ac:dyDescent="0.25">
      <c r="A418" s="87" t="s">
        <v>390</v>
      </c>
      <c r="B418" s="237" t="s">
        <v>88</v>
      </c>
      <c r="C418" s="252" t="s">
        <v>16</v>
      </c>
      <c r="D418" s="41">
        <v>51.870832999999998</v>
      </c>
      <c r="E418" s="41">
        <v>10.908333000000001</v>
      </c>
      <c r="F418" s="116">
        <f t="shared" si="15"/>
        <v>5137.5</v>
      </c>
      <c r="G418" s="17">
        <v>5500</v>
      </c>
      <c r="H418" s="112">
        <v>4775</v>
      </c>
      <c r="I418" s="97" t="s">
        <v>34</v>
      </c>
      <c r="J418" s="40" t="s">
        <v>69</v>
      </c>
      <c r="K418" s="417" t="s">
        <v>21</v>
      </c>
      <c r="L418" s="17" t="s">
        <v>2885</v>
      </c>
      <c r="M418" s="108" t="s">
        <v>95</v>
      </c>
      <c r="N418" s="230" t="s">
        <v>3291</v>
      </c>
      <c r="O418" s="205" t="s">
        <v>3126</v>
      </c>
    </row>
    <row r="419" spans="1:15" s="45" customFormat="1" x14ac:dyDescent="0.25">
      <c r="A419" s="87" t="s">
        <v>390</v>
      </c>
      <c r="B419" s="237" t="s">
        <v>88</v>
      </c>
      <c r="C419" s="252" t="s">
        <v>16</v>
      </c>
      <c r="D419" s="41">
        <v>51.870832999999998</v>
      </c>
      <c r="E419" s="41">
        <v>10.908333000000001</v>
      </c>
      <c r="F419" s="116">
        <f t="shared" si="15"/>
        <v>5137.5</v>
      </c>
      <c r="G419" s="17">
        <v>5500</v>
      </c>
      <c r="H419" s="112">
        <v>4775</v>
      </c>
      <c r="I419" s="97" t="s">
        <v>34</v>
      </c>
      <c r="J419" s="40" t="s">
        <v>69</v>
      </c>
      <c r="K419" s="417" t="s">
        <v>21</v>
      </c>
      <c r="L419" s="17" t="s">
        <v>3391</v>
      </c>
      <c r="M419" s="108" t="s">
        <v>94</v>
      </c>
      <c r="N419" s="230" t="s">
        <v>3292</v>
      </c>
      <c r="O419" s="205" t="s">
        <v>3126</v>
      </c>
    </row>
    <row r="420" spans="1:15" s="45" customFormat="1" x14ac:dyDescent="0.25">
      <c r="A420" s="87" t="s">
        <v>390</v>
      </c>
      <c r="B420" s="237" t="s">
        <v>88</v>
      </c>
      <c r="C420" s="252" t="s">
        <v>16</v>
      </c>
      <c r="D420" s="41">
        <v>51.870832999999998</v>
      </c>
      <c r="E420" s="41">
        <v>10.908333000000001</v>
      </c>
      <c r="F420" s="116">
        <f t="shared" si="15"/>
        <v>5137.5</v>
      </c>
      <c r="G420" s="17">
        <v>5500</v>
      </c>
      <c r="H420" s="112">
        <v>4775</v>
      </c>
      <c r="I420" s="97" t="s">
        <v>87</v>
      </c>
      <c r="J420" s="40" t="s">
        <v>69</v>
      </c>
      <c r="K420" s="417" t="s">
        <v>21</v>
      </c>
      <c r="L420" s="17" t="s">
        <v>1446</v>
      </c>
      <c r="M420" s="108" t="s">
        <v>115</v>
      </c>
      <c r="N420" s="230" t="s">
        <v>3293</v>
      </c>
      <c r="O420" s="205" t="s">
        <v>3126</v>
      </c>
    </row>
    <row r="421" spans="1:15" s="45" customFormat="1" ht="15.75" thickBot="1" x14ac:dyDescent="0.3">
      <c r="A421" s="87" t="s">
        <v>390</v>
      </c>
      <c r="B421" s="237" t="s">
        <v>88</v>
      </c>
      <c r="C421" s="252" t="s">
        <v>16</v>
      </c>
      <c r="D421" s="41">
        <v>51.870832999999998</v>
      </c>
      <c r="E421" s="41">
        <v>10.908333000000001</v>
      </c>
      <c r="F421" s="116">
        <f t="shared" si="15"/>
        <v>5137.5</v>
      </c>
      <c r="G421" s="17">
        <v>5500</v>
      </c>
      <c r="H421" s="112">
        <v>4775</v>
      </c>
      <c r="I421" s="97" t="s">
        <v>7</v>
      </c>
      <c r="J421" s="40" t="s">
        <v>69</v>
      </c>
      <c r="K421" s="417" t="s">
        <v>21</v>
      </c>
      <c r="L421" s="17" t="s">
        <v>2885</v>
      </c>
      <c r="M421" s="108" t="s">
        <v>111</v>
      </c>
      <c r="N421" s="230" t="s">
        <v>3294</v>
      </c>
      <c r="O421" s="205" t="s">
        <v>3126</v>
      </c>
    </row>
    <row r="422" spans="1:15" s="45" customFormat="1" ht="15.75" thickBot="1" x14ac:dyDescent="0.3">
      <c r="A422" s="87" t="s">
        <v>390</v>
      </c>
      <c r="B422" s="237" t="s">
        <v>88</v>
      </c>
      <c r="C422" s="252" t="s">
        <v>16</v>
      </c>
      <c r="D422" s="41">
        <v>51.870832999999998</v>
      </c>
      <c r="E422" s="41">
        <v>10.908333000000001</v>
      </c>
      <c r="F422" s="116">
        <f t="shared" si="15"/>
        <v>5137.5</v>
      </c>
      <c r="G422" s="17">
        <v>5500</v>
      </c>
      <c r="H422" s="112">
        <v>4775</v>
      </c>
      <c r="I422" s="174" t="s">
        <v>6</v>
      </c>
      <c r="J422" s="40" t="s">
        <v>69</v>
      </c>
      <c r="K422" s="417" t="s">
        <v>21</v>
      </c>
      <c r="L422" s="17" t="s">
        <v>14</v>
      </c>
      <c r="M422" s="108" t="s">
        <v>100</v>
      </c>
      <c r="N422" s="230" t="s">
        <v>3273</v>
      </c>
      <c r="O422" s="205" t="s">
        <v>3126</v>
      </c>
    </row>
    <row r="423" spans="1:15" s="45" customFormat="1" x14ac:dyDescent="0.25">
      <c r="A423" s="87" t="s">
        <v>390</v>
      </c>
      <c r="B423" s="237" t="s">
        <v>88</v>
      </c>
      <c r="C423" s="252" t="s">
        <v>16</v>
      </c>
      <c r="D423" s="41">
        <v>51.870832999999998</v>
      </c>
      <c r="E423" s="41">
        <v>10.908333000000001</v>
      </c>
      <c r="F423" s="116">
        <f t="shared" si="15"/>
        <v>5137.5</v>
      </c>
      <c r="G423" s="17">
        <v>5500</v>
      </c>
      <c r="H423" s="112">
        <v>4775</v>
      </c>
      <c r="I423" s="97" t="s">
        <v>18</v>
      </c>
      <c r="J423" s="40" t="s">
        <v>69</v>
      </c>
      <c r="K423" s="417" t="s">
        <v>21</v>
      </c>
      <c r="L423" s="17" t="s">
        <v>2</v>
      </c>
      <c r="M423" s="108" t="s">
        <v>90</v>
      </c>
      <c r="N423" s="230" t="s">
        <v>3272</v>
      </c>
      <c r="O423" s="205" t="s">
        <v>4564</v>
      </c>
    </row>
    <row r="424" spans="1:15" s="45" customFormat="1" x14ac:dyDescent="0.25">
      <c r="A424" s="87" t="s">
        <v>390</v>
      </c>
      <c r="B424" s="237" t="s">
        <v>88</v>
      </c>
      <c r="C424" s="252" t="s">
        <v>16</v>
      </c>
      <c r="D424" s="41">
        <v>51.870832999999998</v>
      </c>
      <c r="E424" s="41">
        <v>10.908333000000001</v>
      </c>
      <c r="F424" s="116">
        <f t="shared" si="15"/>
        <v>5039.5</v>
      </c>
      <c r="G424" s="27">
        <v>5075</v>
      </c>
      <c r="H424" s="115">
        <v>5004</v>
      </c>
      <c r="I424" s="97" t="s">
        <v>10</v>
      </c>
      <c r="J424" s="40" t="s">
        <v>69</v>
      </c>
      <c r="K424" s="417" t="s">
        <v>21</v>
      </c>
      <c r="L424" s="17" t="s">
        <v>1446</v>
      </c>
      <c r="M424" s="108" t="s">
        <v>114</v>
      </c>
      <c r="N424" s="230" t="s">
        <v>3295</v>
      </c>
      <c r="O424" s="205" t="s">
        <v>3404</v>
      </c>
    </row>
    <row r="425" spans="1:15" s="2" customFormat="1" x14ac:dyDescent="0.25">
      <c r="A425" s="87" t="s">
        <v>390</v>
      </c>
      <c r="B425" s="237" t="s">
        <v>88</v>
      </c>
      <c r="C425" s="252" t="s">
        <v>16</v>
      </c>
      <c r="D425" s="41">
        <v>51.870832999999998</v>
      </c>
      <c r="E425" s="41">
        <v>10.908333000000001</v>
      </c>
      <c r="F425" s="116">
        <f t="shared" si="15"/>
        <v>4978</v>
      </c>
      <c r="G425" s="17">
        <v>5023</v>
      </c>
      <c r="H425" s="112">
        <v>4933</v>
      </c>
      <c r="I425" s="97" t="s">
        <v>13</v>
      </c>
      <c r="J425" s="40" t="s">
        <v>69</v>
      </c>
      <c r="K425" s="417" t="s">
        <v>21</v>
      </c>
      <c r="L425" s="17" t="s">
        <v>2</v>
      </c>
      <c r="M425" s="108" t="s">
        <v>101</v>
      </c>
      <c r="N425" s="230" t="s">
        <v>3296</v>
      </c>
      <c r="O425" s="205" t="s">
        <v>3405</v>
      </c>
    </row>
    <row r="426" spans="1:15" s="45" customFormat="1" x14ac:dyDescent="0.25">
      <c r="A426" s="87" t="s">
        <v>3271</v>
      </c>
      <c r="B426" s="238" t="s">
        <v>15</v>
      </c>
      <c r="C426" s="252" t="s">
        <v>16</v>
      </c>
      <c r="D426" s="41">
        <v>51.273000000000003</v>
      </c>
      <c r="E426" s="41">
        <v>11.655900000000001</v>
      </c>
      <c r="F426" s="116">
        <f t="shared" si="15"/>
        <v>5137.5</v>
      </c>
      <c r="G426" s="27">
        <v>5500</v>
      </c>
      <c r="H426" s="112">
        <v>4775</v>
      </c>
      <c r="I426" s="97" t="s">
        <v>18</v>
      </c>
      <c r="J426" s="40" t="s">
        <v>69</v>
      </c>
      <c r="K426" s="417" t="s">
        <v>21</v>
      </c>
      <c r="L426" s="17" t="s">
        <v>14</v>
      </c>
      <c r="M426" s="108" t="s">
        <v>19</v>
      </c>
      <c r="N426" s="230" t="s">
        <v>808</v>
      </c>
      <c r="O426" s="205" t="s">
        <v>3387</v>
      </c>
    </row>
    <row r="427" spans="1:15" s="45" customFormat="1" x14ac:dyDescent="0.25">
      <c r="A427" s="87" t="s">
        <v>374</v>
      </c>
      <c r="B427" s="238" t="s">
        <v>15</v>
      </c>
      <c r="C427" s="252" t="s">
        <v>16</v>
      </c>
      <c r="D427" s="41">
        <v>51.273000000000003</v>
      </c>
      <c r="E427" s="41">
        <v>11.655900000000001</v>
      </c>
      <c r="F427" s="116">
        <f t="shared" si="15"/>
        <v>5137.5</v>
      </c>
      <c r="G427" s="27">
        <v>5500</v>
      </c>
      <c r="H427" s="112">
        <v>4775</v>
      </c>
      <c r="I427" s="97" t="s">
        <v>18</v>
      </c>
      <c r="J427" s="40" t="s">
        <v>69</v>
      </c>
      <c r="K427" s="417" t="s">
        <v>21</v>
      </c>
      <c r="L427" s="17" t="s">
        <v>69</v>
      </c>
      <c r="M427" s="108" t="s">
        <v>20</v>
      </c>
      <c r="N427" s="230" t="s">
        <v>3301</v>
      </c>
      <c r="O427" s="205" t="s">
        <v>3126</v>
      </c>
    </row>
    <row r="428" spans="1:15" s="45" customFormat="1" x14ac:dyDescent="0.25">
      <c r="A428" s="87" t="s">
        <v>374</v>
      </c>
      <c r="B428" s="238" t="s">
        <v>15</v>
      </c>
      <c r="C428" s="252" t="s">
        <v>16</v>
      </c>
      <c r="D428" s="41">
        <v>51.273000000000003</v>
      </c>
      <c r="E428" s="41">
        <v>11.655900000000001</v>
      </c>
      <c r="F428" s="116">
        <f t="shared" si="15"/>
        <v>5137.5</v>
      </c>
      <c r="G428" s="27">
        <v>5500</v>
      </c>
      <c r="H428" s="112">
        <v>4775</v>
      </c>
      <c r="I428" s="97" t="s">
        <v>18</v>
      </c>
      <c r="J428" s="40" t="s">
        <v>69</v>
      </c>
      <c r="K428" s="417" t="s">
        <v>21</v>
      </c>
      <c r="L428" s="17" t="s">
        <v>69</v>
      </c>
      <c r="M428" s="108" t="s">
        <v>22</v>
      </c>
      <c r="N428" s="230" t="s">
        <v>3302</v>
      </c>
      <c r="O428" s="205" t="s">
        <v>3126</v>
      </c>
    </row>
    <row r="429" spans="1:15" s="45" customFormat="1" x14ac:dyDescent="0.25">
      <c r="A429" s="87" t="s">
        <v>374</v>
      </c>
      <c r="B429" s="238" t="s">
        <v>15</v>
      </c>
      <c r="C429" s="252" t="s">
        <v>16</v>
      </c>
      <c r="D429" s="41">
        <v>51.273000000000003</v>
      </c>
      <c r="E429" s="41">
        <v>11.655900000000001</v>
      </c>
      <c r="F429" s="116">
        <f t="shared" si="15"/>
        <v>5137.5</v>
      </c>
      <c r="G429" s="27">
        <v>5500</v>
      </c>
      <c r="H429" s="112">
        <v>4775</v>
      </c>
      <c r="I429" s="97" t="s">
        <v>18</v>
      </c>
      <c r="J429" s="40" t="s">
        <v>69</v>
      </c>
      <c r="K429" s="417" t="s">
        <v>21</v>
      </c>
      <c r="L429" s="17" t="s">
        <v>69</v>
      </c>
      <c r="M429" s="108" t="s">
        <v>23</v>
      </c>
      <c r="N429" s="230" t="s">
        <v>3303</v>
      </c>
      <c r="O429" s="205" t="s">
        <v>3126</v>
      </c>
    </row>
    <row r="430" spans="1:15" s="45" customFormat="1" x14ac:dyDescent="0.25">
      <c r="A430" s="87" t="s">
        <v>374</v>
      </c>
      <c r="B430" s="238" t="s">
        <v>15</v>
      </c>
      <c r="C430" s="252" t="s">
        <v>16</v>
      </c>
      <c r="D430" s="41">
        <v>51.273000000000003</v>
      </c>
      <c r="E430" s="41">
        <v>11.655900000000001</v>
      </c>
      <c r="F430" s="116">
        <f t="shared" si="15"/>
        <v>5049.5</v>
      </c>
      <c r="G430" s="27">
        <v>5079</v>
      </c>
      <c r="H430" s="112">
        <v>5020</v>
      </c>
      <c r="I430" s="97" t="s">
        <v>18</v>
      </c>
      <c r="J430" s="40" t="s">
        <v>69</v>
      </c>
      <c r="K430" s="417" t="s">
        <v>21</v>
      </c>
      <c r="L430" s="17" t="s">
        <v>69</v>
      </c>
      <c r="M430" s="108" t="s">
        <v>24</v>
      </c>
      <c r="N430" s="230" t="s">
        <v>3304</v>
      </c>
      <c r="O430" s="205" t="s">
        <v>3405</v>
      </c>
    </row>
    <row r="431" spans="1:15" s="2" customFormat="1" x14ac:dyDescent="0.25">
      <c r="A431" s="87" t="s">
        <v>374</v>
      </c>
      <c r="B431" s="238" t="s">
        <v>15</v>
      </c>
      <c r="C431" s="252" t="s">
        <v>16</v>
      </c>
      <c r="D431" s="41">
        <v>51.273000000000003</v>
      </c>
      <c r="E431" s="41">
        <v>11.655900000000001</v>
      </c>
      <c r="F431" s="116">
        <f t="shared" si="15"/>
        <v>5137.5</v>
      </c>
      <c r="G431" s="27">
        <v>5500</v>
      </c>
      <c r="H431" s="112">
        <v>4775</v>
      </c>
      <c r="I431" s="97" t="s">
        <v>32</v>
      </c>
      <c r="J431" s="40" t="s">
        <v>69</v>
      </c>
      <c r="K431" s="417" t="s">
        <v>17</v>
      </c>
      <c r="L431" s="17" t="s">
        <v>69</v>
      </c>
      <c r="M431" s="108" t="s">
        <v>33</v>
      </c>
      <c r="N431" s="230" t="s">
        <v>3305</v>
      </c>
      <c r="O431" s="205" t="s">
        <v>3126</v>
      </c>
    </row>
    <row r="432" spans="1:15" s="45" customFormat="1" x14ac:dyDescent="0.25">
      <c r="A432" s="87" t="s">
        <v>374</v>
      </c>
      <c r="B432" s="238" t="s">
        <v>15</v>
      </c>
      <c r="C432" s="252" t="s">
        <v>16</v>
      </c>
      <c r="D432" s="41">
        <v>51.273000000000003</v>
      </c>
      <c r="E432" s="41">
        <v>11.655900000000001</v>
      </c>
      <c r="F432" s="116">
        <f t="shared" si="15"/>
        <v>5137.5</v>
      </c>
      <c r="G432" s="27">
        <v>5500</v>
      </c>
      <c r="H432" s="112">
        <v>4775</v>
      </c>
      <c r="I432" s="97" t="s">
        <v>34</v>
      </c>
      <c r="J432" s="40" t="s">
        <v>69</v>
      </c>
      <c r="K432" s="417" t="s">
        <v>17</v>
      </c>
      <c r="L432" s="17" t="s">
        <v>69</v>
      </c>
      <c r="M432" s="108" t="s">
        <v>35</v>
      </c>
      <c r="N432" s="230" t="s">
        <v>3306</v>
      </c>
      <c r="O432" s="205" t="s">
        <v>3126</v>
      </c>
    </row>
    <row r="433" spans="1:15" s="45" customFormat="1" x14ac:dyDescent="0.25">
      <c r="A433" s="87" t="s">
        <v>374</v>
      </c>
      <c r="B433" s="238" t="s">
        <v>15</v>
      </c>
      <c r="C433" s="252" t="s">
        <v>16</v>
      </c>
      <c r="D433" s="41">
        <v>51.273000000000003</v>
      </c>
      <c r="E433" s="41">
        <v>11.655900000000001</v>
      </c>
      <c r="F433" s="116">
        <f t="shared" si="15"/>
        <v>5137.5</v>
      </c>
      <c r="G433" s="27">
        <v>5500</v>
      </c>
      <c r="H433" s="112">
        <v>4775</v>
      </c>
      <c r="I433" s="97" t="s">
        <v>38</v>
      </c>
      <c r="J433" s="40" t="s">
        <v>69</v>
      </c>
      <c r="K433" s="417" t="s">
        <v>17</v>
      </c>
      <c r="L433" s="17" t="s">
        <v>69</v>
      </c>
      <c r="M433" s="108" t="s">
        <v>39</v>
      </c>
      <c r="N433" s="230" t="s">
        <v>3307</v>
      </c>
      <c r="O433" s="205" t="s">
        <v>3126</v>
      </c>
    </row>
    <row r="434" spans="1:15" s="45" customFormat="1" x14ac:dyDescent="0.25">
      <c r="A434" s="87" t="s">
        <v>374</v>
      </c>
      <c r="B434" s="238" t="s">
        <v>15</v>
      </c>
      <c r="C434" s="252" t="s">
        <v>16</v>
      </c>
      <c r="D434" s="41">
        <v>51.273000000000003</v>
      </c>
      <c r="E434" s="41">
        <v>11.655900000000001</v>
      </c>
      <c r="F434" s="116">
        <f t="shared" si="15"/>
        <v>5007.5</v>
      </c>
      <c r="G434" s="27">
        <v>5056</v>
      </c>
      <c r="H434" s="112">
        <v>4959</v>
      </c>
      <c r="I434" s="97" t="s">
        <v>38</v>
      </c>
      <c r="J434" s="40" t="s">
        <v>69</v>
      </c>
      <c r="K434" s="417" t="s">
        <v>21</v>
      </c>
      <c r="L434" s="17" t="s">
        <v>69</v>
      </c>
      <c r="M434" s="108" t="s">
        <v>40</v>
      </c>
      <c r="N434" s="230" t="s">
        <v>3308</v>
      </c>
      <c r="O434" s="205" t="s">
        <v>3405</v>
      </c>
    </row>
    <row r="435" spans="1:15" s="2" customFormat="1" ht="15.75" thickBot="1" x14ac:dyDescent="0.3">
      <c r="A435" s="87" t="s">
        <v>374</v>
      </c>
      <c r="B435" s="238" t="s">
        <v>15</v>
      </c>
      <c r="C435" s="252" t="s">
        <v>16</v>
      </c>
      <c r="D435" s="41">
        <v>51.273000000000003</v>
      </c>
      <c r="E435" s="41">
        <v>11.655900000000001</v>
      </c>
      <c r="F435" s="116">
        <f t="shared" si="15"/>
        <v>5114.5</v>
      </c>
      <c r="G435" s="27">
        <v>5140</v>
      </c>
      <c r="H435" s="112">
        <v>5089</v>
      </c>
      <c r="I435" s="97" t="s">
        <v>41</v>
      </c>
      <c r="J435" s="40" t="s">
        <v>69</v>
      </c>
      <c r="K435" s="417" t="s">
        <v>21</v>
      </c>
      <c r="L435" s="17" t="s">
        <v>69</v>
      </c>
      <c r="M435" s="108" t="s">
        <v>42</v>
      </c>
      <c r="N435" s="230" t="s">
        <v>3309</v>
      </c>
      <c r="O435" s="205" t="s">
        <v>3405</v>
      </c>
    </row>
    <row r="436" spans="1:15" s="45" customFormat="1" ht="15.75" thickBot="1" x14ac:dyDescent="0.3">
      <c r="A436" s="87" t="s">
        <v>374</v>
      </c>
      <c r="B436" s="238" t="s">
        <v>15</v>
      </c>
      <c r="C436" s="252" t="s">
        <v>16</v>
      </c>
      <c r="D436" s="41">
        <v>51.273000000000003</v>
      </c>
      <c r="E436" s="41">
        <v>11.655900000000001</v>
      </c>
      <c r="F436" s="116">
        <f t="shared" si="15"/>
        <v>5030</v>
      </c>
      <c r="G436" s="27">
        <v>5068</v>
      </c>
      <c r="H436" s="112">
        <v>4992</v>
      </c>
      <c r="I436" s="174" t="s">
        <v>43</v>
      </c>
      <c r="J436" s="40" t="s">
        <v>69</v>
      </c>
      <c r="K436" s="417" t="s">
        <v>21</v>
      </c>
      <c r="L436" s="17" t="s">
        <v>69</v>
      </c>
      <c r="M436" s="108" t="s">
        <v>44</v>
      </c>
      <c r="N436" s="230" t="s">
        <v>3310</v>
      </c>
      <c r="O436" s="205" t="s">
        <v>3405</v>
      </c>
    </row>
    <row r="437" spans="1:15" s="45" customFormat="1" ht="15.75" thickBot="1" x14ac:dyDescent="0.3">
      <c r="A437" s="87" t="s">
        <v>374</v>
      </c>
      <c r="B437" s="238" t="s">
        <v>15</v>
      </c>
      <c r="C437" s="252" t="s">
        <v>16</v>
      </c>
      <c r="D437" s="41">
        <v>51.273000000000003</v>
      </c>
      <c r="E437" s="41">
        <v>11.655900000000001</v>
      </c>
      <c r="F437" s="116">
        <f t="shared" si="15"/>
        <v>5137.5</v>
      </c>
      <c r="G437" s="27">
        <v>5500</v>
      </c>
      <c r="H437" s="112">
        <v>4775</v>
      </c>
      <c r="I437" s="174" t="s">
        <v>6</v>
      </c>
      <c r="J437" s="40" t="s">
        <v>69</v>
      </c>
      <c r="K437" s="417" t="s">
        <v>17</v>
      </c>
      <c r="L437" s="17" t="s">
        <v>69</v>
      </c>
      <c r="M437" s="108" t="s">
        <v>45</v>
      </c>
      <c r="N437" s="230" t="s">
        <v>3311</v>
      </c>
      <c r="O437" s="205" t="s">
        <v>3126</v>
      </c>
    </row>
    <row r="438" spans="1:15" s="45" customFormat="1" ht="15.75" thickBot="1" x14ac:dyDescent="0.3">
      <c r="A438" s="87" t="s">
        <v>374</v>
      </c>
      <c r="B438" s="238" t="s">
        <v>15</v>
      </c>
      <c r="C438" s="252" t="s">
        <v>16</v>
      </c>
      <c r="D438" s="41">
        <v>51.273000000000003</v>
      </c>
      <c r="E438" s="41">
        <v>11.655900000000001</v>
      </c>
      <c r="F438" s="116">
        <f t="shared" si="15"/>
        <v>5137.5</v>
      </c>
      <c r="G438" s="27">
        <v>5500</v>
      </c>
      <c r="H438" s="112">
        <v>4775</v>
      </c>
      <c r="I438" s="174" t="s">
        <v>6</v>
      </c>
      <c r="J438" s="40" t="s">
        <v>69</v>
      </c>
      <c r="K438" s="417" t="s">
        <v>17</v>
      </c>
      <c r="L438" s="17" t="s">
        <v>69</v>
      </c>
      <c r="M438" s="108" t="s">
        <v>46</v>
      </c>
      <c r="N438" s="230" t="s">
        <v>3312</v>
      </c>
      <c r="O438" s="205" t="s">
        <v>3126</v>
      </c>
    </row>
    <row r="439" spans="1:15" s="45" customFormat="1" ht="15.75" thickBot="1" x14ac:dyDescent="0.3">
      <c r="A439" s="87" t="s">
        <v>374</v>
      </c>
      <c r="B439" s="238" t="s">
        <v>15</v>
      </c>
      <c r="C439" s="252" t="s">
        <v>16</v>
      </c>
      <c r="D439" s="41">
        <v>51.273000000000003</v>
      </c>
      <c r="E439" s="41">
        <v>11.655900000000001</v>
      </c>
      <c r="F439" s="116">
        <f t="shared" si="15"/>
        <v>5137.5</v>
      </c>
      <c r="G439" s="27">
        <v>5500</v>
      </c>
      <c r="H439" s="112">
        <v>4775</v>
      </c>
      <c r="I439" s="174" t="s">
        <v>48</v>
      </c>
      <c r="J439" s="40" t="s">
        <v>69</v>
      </c>
      <c r="K439" s="417" t="s">
        <v>17</v>
      </c>
      <c r="L439" s="17" t="s">
        <v>69</v>
      </c>
      <c r="M439" s="108" t="s">
        <v>49</v>
      </c>
      <c r="N439" s="230" t="s">
        <v>3313</v>
      </c>
      <c r="O439" s="205" t="s">
        <v>3126</v>
      </c>
    </row>
    <row r="440" spans="1:15" s="45" customFormat="1" ht="15.75" thickBot="1" x14ac:dyDescent="0.3">
      <c r="A440" s="87" t="s">
        <v>374</v>
      </c>
      <c r="B440" s="238" t="s">
        <v>15</v>
      </c>
      <c r="C440" s="252" t="s">
        <v>16</v>
      </c>
      <c r="D440" s="41">
        <v>51.273000000000003</v>
      </c>
      <c r="E440" s="41">
        <v>11.655900000000001</v>
      </c>
      <c r="F440" s="116">
        <f t="shared" si="15"/>
        <v>5137.5</v>
      </c>
      <c r="G440" s="27">
        <v>5500</v>
      </c>
      <c r="H440" s="112">
        <v>4775</v>
      </c>
      <c r="I440" s="174" t="s">
        <v>50</v>
      </c>
      <c r="J440" s="40" t="s">
        <v>69</v>
      </c>
      <c r="K440" s="417" t="s">
        <v>17</v>
      </c>
      <c r="L440" s="17" t="s">
        <v>69</v>
      </c>
      <c r="M440" s="108" t="s">
        <v>51</v>
      </c>
      <c r="N440" s="230" t="s">
        <v>3314</v>
      </c>
      <c r="O440" s="205" t="s">
        <v>3126</v>
      </c>
    </row>
    <row r="441" spans="1:15" s="45" customFormat="1" x14ac:dyDescent="0.25">
      <c r="A441" s="87" t="s">
        <v>374</v>
      </c>
      <c r="B441" s="238" t="s">
        <v>15</v>
      </c>
      <c r="C441" s="252" t="s">
        <v>16</v>
      </c>
      <c r="D441" s="41">
        <v>51.273000000000003</v>
      </c>
      <c r="E441" s="41">
        <v>11.655900000000001</v>
      </c>
      <c r="F441" s="116">
        <f t="shared" si="15"/>
        <v>5137.5</v>
      </c>
      <c r="G441" s="27">
        <v>5500</v>
      </c>
      <c r="H441" s="112">
        <v>4775</v>
      </c>
      <c r="I441" s="97" t="s">
        <v>52</v>
      </c>
      <c r="J441" s="40" t="s">
        <v>69</v>
      </c>
      <c r="K441" s="417" t="s">
        <v>17</v>
      </c>
      <c r="L441" s="17" t="s">
        <v>69</v>
      </c>
      <c r="M441" s="108" t="s">
        <v>53</v>
      </c>
      <c r="N441" s="230" t="s">
        <v>3315</v>
      </c>
      <c r="O441" s="205" t="s">
        <v>3126</v>
      </c>
    </row>
    <row r="442" spans="1:15" s="45" customFormat="1" x14ac:dyDescent="0.25">
      <c r="A442" s="87" t="s">
        <v>374</v>
      </c>
      <c r="B442" s="238" t="s">
        <v>15</v>
      </c>
      <c r="C442" s="252" t="s">
        <v>16</v>
      </c>
      <c r="D442" s="41">
        <v>51.273000000000003</v>
      </c>
      <c r="E442" s="41">
        <v>11.655900000000001</v>
      </c>
      <c r="F442" s="116">
        <f t="shared" si="15"/>
        <v>5036</v>
      </c>
      <c r="G442" s="27">
        <v>5075</v>
      </c>
      <c r="H442" s="112">
        <v>4997</v>
      </c>
      <c r="I442" s="97" t="s">
        <v>7</v>
      </c>
      <c r="J442" s="40" t="s">
        <v>69</v>
      </c>
      <c r="K442" s="417" t="s">
        <v>21</v>
      </c>
      <c r="L442" s="17" t="s">
        <v>69</v>
      </c>
      <c r="M442" s="108" t="s">
        <v>55</v>
      </c>
      <c r="N442" s="230" t="s">
        <v>3316</v>
      </c>
      <c r="O442" s="205" t="s">
        <v>3431</v>
      </c>
    </row>
    <row r="443" spans="1:15" s="45" customFormat="1" x14ac:dyDescent="0.25">
      <c r="A443" s="87" t="s">
        <v>374</v>
      </c>
      <c r="B443" s="238" t="s">
        <v>15</v>
      </c>
      <c r="C443" s="252" t="s">
        <v>16</v>
      </c>
      <c r="D443" s="41">
        <v>51.273000000000003</v>
      </c>
      <c r="E443" s="41">
        <v>11.655900000000001</v>
      </c>
      <c r="F443" s="116">
        <f t="shared" si="15"/>
        <v>5137.5</v>
      </c>
      <c r="G443" s="27">
        <v>5500</v>
      </c>
      <c r="H443" s="112">
        <v>4775</v>
      </c>
      <c r="I443" s="97" t="s">
        <v>58</v>
      </c>
      <c r="J443" s="40" t="s">
        <v>69</v>
      </c>
      <c r="K443" s="417" t="s">
        <v>17</v>
      </c>
      <c r="L443" s="17" t="s">
        <v>69</v>
      </c>
      <c r="M443" s="108" t="s">
        <v>59</v>
      </c>
      <c r="N443" s="230" t="s">
        <v>3317</v>
      </c>
      <c r="O443" s="205" t="s">
        <v>3126</v>
      </c>
    </row>
    <row r="444" spans="1:15" s="45" customFormat="1" x14ac:dyDescent="0.25">
      <c r="A444" s="87" t="s">
        <v>374</v>
      </c>
      <c r="B444" s="238" t="s">
        <v>15</v>
      </c>
      <c r="C444" s="252" t="s">
        <v>16</v>
      </c>
      <c r="D444" s="41">
        <v>51.273000000000003</v>
      </c>
      <c r="E444" s="41">
        <v>11.655900000000001</v>
      </c>
      <c r="F444" s="116">
        <f t="shared" si="15"/>
        <v>5137.5</v>
      </c>
      <c r="G444" s="27">
        <v>5500</v>
      </c>
      <c r="H444" s="112">
        <v>4775</v>
      </c>
      <c r="I444" s="97" t="s">
        <v>60</v>
      </c>
      <c r="J444" s="40" t="s">
        <v>69</v>
      </c>
      <c r="K444" s="417" t="s">
        <v>17</v>
      </c>
      <c r="L444" s="17" t="s">
        <v>69</v>
      </c>
      <c r="M444" s="108" t="s">
        <v>61</v>
      </c>
      <c r="N444" s="230" t="s">
        <v>3318</v>
      </c>
      <c r="O444" s="205" t="s">
        <v>3126</v>
      </c>
    </row>
    <row r="445" spans="1:15" s="45" customFormat="1" x14ac:dyDescent="0.25">
      <c r="A445" s="87" t="s">
        <v>374</v>
      </c>
      <c r="B445" s="238" t="s">
        <v>15</v>
      </c>
      <c r="C445" s="252" t="s">
        <v>16</v>
      </c>
      <c r="D445" s="41">
        <v>51.273000000000003</v>
      </c>
      <c r="E445" s="41">
        <v>11.655900000000001</v>
      </c>
      <c r="F445" s="116">
        <f t="shared" si="15"/>
        <v>5137.5</v>
      </c>
      <c r="G445" s="27">
        <v>5500</v>
      </c>
      <c r="H445" s="112">
        <v>4775</v>
      </c>
      <c r="I445" s="97" t="s">
        <v>62</v>
      </c>
      <c r="J445" s="40" t="s">
        <v>69</v>
      </c>
      <c r="K445" s="417" t="s">
        <v>21</v>
      </c>
      <c r="L445" s="17" t="s">
        <v>69</v>
      </c>
      <c r="M445" s="108" t="s">
        <v>63</v>
      </c>
      <c r="N445" s="230" t="s">
        <v>3319</v>
      </c>
      <c r="O445" s="205" t="s">
        <v>3126</v>
      </c>
    </row>
    <row r="446" spans="1:15" s="45" customFormat="1" x14ac:dyDescent="0.25">
      <c r="A446" s="87" t="s">
        <v>374</v>
      </c>
      <c r="B446" s="238" t="s">
        <v>15</v>
      </c>
      <c r="C446" s="252" t="s">
        <v>16</v>
      </c>
      <c r="D446" s="41">
        <v>51.273000000000003</v>
      </c>
      <c r="E446" s="41">
        <v>11.655900000000001</v>
      </c>
      <c r="F446" s="116">
        <f t="shared" si="15"/>
        <v>5137.5</v>
      </c>
      <c r="G446" s="27">
        <v>5500</v>
      </c>
      <c r="H446" s="112">
        <v>4775</v>
      </c>
      <c r="I446" s="97" t="s">
        <v>12</v>
      </c>
      <c r="J446" s="40" t="s">
        <v>69</v>
      </c>
      <c r="K446" s="417" t="s">
        <v>17</v>
      </c>
      <c r="L446" s="17" t="s">
        <v>69</v>
      </c>
      <c r="M446" s="108" t="s">
        <v>64</v>
      </c>
      <c r="N446" s="230" t="s">
        <v>3320</v>
      </c>
      <c r="O446" s="205" t="s">
        <v>3126</v>
      </c>
    </row>
    <row r="447" spans="1:15" s="45" customFormat="1" x14ac:dyDescent="0.25">
      <c r="A447" s="87" t="s">
        <v>387</v>
      </c>
      <c r="B447" s="238" t="s">
        <v>15</v>
      </c>
      <c r="C447" s="252" t="s">
        <v>16</v>
      </c>
      <c r="D447" s="41">
        <v>51.273000000000003</v>
      </c>
      <c r="E447" s="41">
        <v>11.655900000000001</v>
      </c>
      <c r="F447" s="116">
        <f t="shared" ref="F447:F478" si="16">AVERAGE(G447:H447)</f>
        <v>5129</v>
      </c>
      <c r="G447" s="27">
        <v>5217</v>
      </c>
      <c r="H447" s="112">
        <v>5041</v>
      </c>
      <c r="I447" s="97" t="s">
        <v>25</v>
      </c>
      <c r="J447" s="40" t="s">
        <v>26</v>
      </c>
      <c r="K447" s="417" t="s">
        <v>21</v>
      </c>
      <c r="L447" s="17" t="s">
        <v>14</v>
      </c>
      <c r="M447" s="108" t="s">
        <v>27</v>
      </c>
      <c r="N447" s="230" t="s">
        <v>28</v>
      </c>
      <c r="O447" s="205" t="s">
        <v>4566</v>
      </c>
    </row>
    <row r="448" spans="1:15" s="45" customFormat="1" x14ac:dyDescent="0.25">
      <c r="A448" s="87" t="s">
        <v>388</v>
      </c>
      <c r="B448" s="238" t="s">
        <v>15</v>
      </c>
      <c r="C448" s="252" t="s">
        <v>16</v>
      </c>
      <c r="D448" s="41">
        <v>51.273000000000003</v>
      </c>
      <c r="E448" s="41">
        <v>11.655900000000001</v>
      </c>
      <c r="F448" s="116">
        <f t="shared" si="16"/>
        <v>5175</v>
      </c>
      <c r="G448" s="27">
        <v>5500</v>
      </c>
      <c r="H448" s="112">
        <v>4850</v>
      </c>
      <c r="I448" s="97" t="s">
        <v>29</v>
      </c>
      <c r="J448" s="40" t="s">
        <v>26</v>
      </c>
      <c r="K448" s="417" t="s">
        <v>21</v>
      </c>
      <c r="L448" s="17" t="s">
        <v>14</v>
      </c>
      <c r="M448" s="108" t="s">
        <v>30</v>
      </c>
      <c r="N448" s="230" t="s">
        <v>31</v>
      </c>
      <c r="O448" s="205" t="s">
        <v>4565</v>
      </c>
    </row>
    <row r="449" spans="1:15" s="45" customFormat="1" x14ac:dyDescent="0.25">
      <c r="A449" s="87" t="s">
        <v>374</v>
      </c>
      <c r="B449" s="238" t="s">
        <v>36</v>
      </c>
      <c r="C449" s="252" t="s">
        <v>16</v>
      </c>
      <c r="D449" s="41">
        <v>51.15</v>
      </c>
      <c r="E449" s="41">
        <v>11.816660000000001</v>
      </c>
      <c r="F449" s="116">
        <f t="shared" si="16"/>
        <v>5137.5</v>
      </c>
      <c r="G449" s="27">
        <v>5500</v>
      </c>
      <c r="H449" s="112">
        <v>4775</v>
      </c>
      <c r="I449" s="97" t="s">
        <v>7</v>
      </c>
      <c r="J449" s="40" t="s">
        <v>69</v>
      </c>
      <c r="K449" s="417" t="s">
        <v>21</v>
      </c>
      <c r="L449" s="17" t="s">
        <v>69</v>
      </c>
      <c r="M449" s="108" t="s">
        <v>54</v>
      </c>
      <c r="N449" s="230" t="s">
        <v>3322</v>
      </c>
      <c r="O449" s="205" t="s">
        <v>3126</v>
      </c>
    </row>
    <row r="450" spans="1:15" s="2" customFormat="1" ht="15.75" thickBot="1" x14ac:dyDescent="0.3">
      <c r="A450" s="87" t="s">
        <v>374</v>
      </c>
      <c r="B450" s="238" t="s">
        <v>36</v>
      </c>
      <c r="C450" s="252" t="s">
        <v>16</v>
      </c>
      <c r="D450" s="41">
        <v>51.15</v>
      </c>
      <c r="E450" s="41">
        <v>11.816660000000001</v>
      </c>
      <c r="F450" s="116">
        <f t="shared" si="16"/>
        <v>5137.5</v>
      </c>
      <c r="G450" s="27">
        <v>5500</v>
      </c>
      <c r="H450" s="112">
        <v>4775</v>
      </c>
      <c r="I450" s="97" t="s">
        <v>34</v>
      </c>
      <c r="J450" s="40" t="s">
        <v>69</v>
      </c>
      <c r="K450" s="417" t="s">
        <v>21</v>
      </c>
      <c r="L450" s="17" t="s">
        <v>69</v>
      </c>
      <c r="M450" s="108" t="s">
        <v>37</v>
      </c>
      <c r="N450" s="230" t="s">
        <v>3324</v>
      </c>
      <c r="O450" s="205" t="s">
        <v>3126</v>
      </c>
    </row>
    <row r="451" spans="1:15" s="45" customFormat="1" ht="15.75" thickBot="1" x14ac:dyDescent="0.3">
      <c r="A451" s="87" t="s">
        <v>374</v>
      </c>
      <c r="B451" s="238" t="s">
        <v>36</v>
      </c>
      <c r="C451" s="252" t="s">
        <v>16</v>
      </c>
      <c r="D451" s="41">
        <v>51.15</v>
      </c>
      <c r="E451" s="41">
        <v>11.816660000000001</v>
      </c>
      <c r="F451" s="116">
        <f t="shared" si="16"/>
        <v>5137.5</v>
      </c>
      <c r="G451" s="27">
        <v>5500</v>
      </c>
      <c r="H451" s="112">
        <v>4775</v>
      </c>
      <c r="I451" s="174" t="s">
        <v>6</v>
      </c>
      <c r="J451" s="40" t="s">
        <v>69</v>
      </c>
      <c r="K451" s="417" t="s">
        <v>21</v>
      </c>
      <c r="L451" s="17" t="s">
        <v>69</v>
      </c>
      <c r="M451" s="108" t="s">
        <v>47</v>
      </c>
      <c r="N451" s="230" t="s">
        <v>3323</v>
      </c>
      <c r="O451" s="205" t="s">
        <v>3126</v>
      </c>
    </row>
    <row r="452" spans="1:15" s="45" customFormat="1" x14ac:dyDescent="0.25">
      <c r="A452" s="87" t="s">
        <v>374</v>
      </c>
      <c r="B452" s="238" t="s">
        <v>36</v>
      </c>
      <c r="C452" s="252" t="s">
        <v>16</v>
      </c>
      <c r="D452" s="41">
        <v>51.15</v>
      </c>
      <c r="E452" s="41">
        <v>11.816660000000001</v>
      </c>
      <c r="F452" s="116">
        <f t="shared" si="16"/>
        <v>5137.5</v>
      </c>
      <c r="G452" s="27">
        <v>5500</v>
      </c>
      <c r="H452" s="112">
        <v>4775</v>
      </c>
      <c r="I452" s="126" t="s">
        <v>18</v>
      </c>
      <c r="J452" s="40" t="s">
        <v>69</v>
      </c>
      <c r="K452" s="417" t="s">
        <v>21</v>
      </c>
      <c r="L452" s="17" t="s">
        <v>69</v>
      </c>
      <c r="M452" s="108" t="s">
        <v>3430</v>
      </c>
      <c r="N452" s="230" t="s">
        <v>3429</v>
      </c>
      <c r="O452" s="205" t="s">
        <v>3126</v>
      </c>
    </row>
    <row r="453" spans="1:15" s="2" customFormat="1" x14ac:dyDescent="0.25">
      <c r="A453" s="87" t="s">
        <v>374</v>
      </c>
      <c r="B453" s="238" t="s">
        <v>36</v>
      </c>
      <c r="C453" s="252" t="s">
        <v>16</v>
      </c>
      <c r="D453" s="41">
        <v>51.15</v>
      </c>
      <c r="E453" s="41">
        <v>11.816660000000001</v>
      </c>
      <c r="F453" s="116">
        <f t="shared" si="16"/>
        <v>5137.5</v>
      </c>
      <c r="G453" s="27">
        <v>5500</v>
      </c>
      <c r="H453" s="112">
        <v>4775</v>
      </c>
      <c r="I453" s="97" t="s">
        <v>56</v>
      </c>
      <c r="J453" s="40" t="s">
        <v>69</v>
      </c>
      <c r="K453" s="417" t="s">
        <v>21</v>
      </c>
      <c r="L453" s="17" t="s">
        <v>69</v>
      </c>
      <c r="M453" s="108" t="s">
        <v>57</v>
      </c>
      <c r="N453" s="230" t="s">
        <v>3321</v>
      </c>
      <c r="O453" s="205" t="s">
        <v>3126</v>
      </c>
    </row>
    <row r="454" spans="1:15" s="45" customFormat="1" x14ac:dyDescent="0.25">
      <c r="A454" s="87" t="s">
        <v>374</v>
      </c>
      <c r="B454" s="238" t="s">
        <v>65</v>
      </c>
      <c r="C454" s="252" t="s">
        <v>16</v>
      </c>
      <c r="D454" s="41">
        <v>51.66</v>
      </c>
      <c r="E454" s="41">
        <v>11.53</v>
      </c>
      <c r="F454" s="116">
        <f t="shared" si="16"/>
        <v>5137.5</v>
      </c>
      <c r="G454" s="27">
        <v>5500</v>
      </c>
      <c r="H454" s="112">
        <v>4775</v>
      </c>
      <c r="I454" s="97" t="s">
        <v>60</v>
      </c>
      <c r="J454" s="40" t="s">
        <v>69</v>
      </c>
      <c r="K454" s="417" t="s">
        <v>21</v>
      </c>
      <c r="L454" s="17" t="s">
        <v>69</v>
      </c>
      <c r="M454" s="108" t="s">
        <v>66</v>
      </c>
      <c r="N454" s="230" t="s">
        <v>3325</v>
      </c>
      <c r="O454" s="205" t="s">
        <v>3126</v>
      </c>
    </row>
    <row r="455" spans="1:15" s="45" customFormat="1" x14ac:dyDescent="0.25">
      <c r="A455" s="87" t="s">
        <v>374</v>
      </c>
      <c r="B455" s="238" t="s">
        <v>65</v>
      </c>
      <c r="C455" s="252" t="s">
        <v>16</v>
      </c>
      <c r="D455" s="41">
        <v>51.66</v>
      </c>
      <c r="E455" s="41">
        <v>11.53</v>
      </c>
      <c r="F455" s="116">
        <f t="shared" si="16"/>
        <v>5137.5</v>
      </c>
      <c r="G455" s="27">
        <v>5500</v>
      </c>
      <c r="H455" s="112">
        <v>4775</v>
      </c>
      <c r="I455" s="97" t="s">
        <v>34</v>
      </c>
      <c r="J455" s="40" t="s">
        <v>69</v>
      </c>
      <c r="K455" s="417" t="s">
        <v>21</v>
      </c>
      <c r="L455" s="17" t="s">
        <v>69</v>
      </c>
      <c r="M455" s="108" t="s">
        <v>71</v>
      </c>
      <c r="N455" s="230" t="s">
        <v>3327</v>
      </c>
      <c r="O455" s="205" t="s">
        <v>3126</v>
      </c>
    </row>
    <row r="456" spans="1:15" s="45" customFormat="1" x14ac:dyDescent="0.25">
      <c r="A456" s="87" t="s">
        <v>374</v>
      </c>
      <c r="B456" s="238" t="s">
        <v>65</v>
      </c>
      <c r="C456" s="252" t="s">
        <v>16</v>
      </c>
      <c r="D456" s="41">
        <v>51.66</v>
      </c>
      <c r="E456" s="41">
        <v>11.53</v>
      </c>
      <c r="F456" s="116">
        <f t="shared" si="16"/>
        <v>5137.5</v>
      </c>
      <c r="G456" s="27">
        <v>5500</v>
      </c>
      <c r="H456" s="112">
        <v>4775</v>
      </c>
      <c r="I456" s="97" t="s">
        <v>52</v>
      </c>
      <c r="J456" s="40" t="s">
        <v>69</v>
      </c>
      <c r="K456" s="417" t="s">
        <v>21</v>
      </c>
      <c r="L456" s="17" t="s">
        <v>69</v>
      </c>
      <c r="M456" s="108" t="s">
        <v>72</v>
      </c>
      <c r="N456" s="230" t="s">
        <v>3328</v>
      </c>
      <c r="O456" s="205" t="s">
        <v>3126</v>
      </c>
    </row>
    <row r="457" spans="1:15" s="45" customFormat="1" ht="15.75" thickBot="1" x14ac:dyDescent="0.3">
      <c r="A457" s="87" t="s">
        <v>374</v>
      </c>
      <c r="B457" s="238" t="s">
        <v>65</v>
      </c>
      <c r="C457" s="252" t="s">
        <v>16</v>
      </c>
      <c r="D457" s="41">
        <v>51.66</v>
      </c>
      <c r="E457" s="41">
        <v>11.53</v>
      </c>
      <c r="F457" s="116">
        <f t="shared" si="16"/>
        <v>5137.5</v>
      </c>
      <c r="G457" s="27">
        <v>5500</v>
      </c>
      <c r="H457" s="112">
        <v>4775</v>
      </c>
      <c r="I457" s="97" t="s">
        <v>73</v>
      </c>
      <c r="J457" s="40" t="s">
        <v>69</v>
      </c>
      <c r="K457" s="417" t="s">
        <v>21</v>
      </c>
      <c r="L457" s="17" t="s">
        <v>69</v>
      </c>
      <c r="M457" s="108" t="s">
        <v>74</v>
      </c>
      <c r="N457" s="230" t="s">
        <v>3329</v>
      </c>
      <c r="O457" s="205" t="s">
        <v>3126</v>
      </c>
    </row>
    <row r="458" spans="1:15" s="45" customFormat="1" ht="15.75" thickBot="1" x14ac:dyDescent="0.3">
      <c r="A458" s="87" t="s">
        <v>374</v>
      </c>
      <c r="B458" s="238" t="s">
        <v>65</v>
      </c>
      <c r="C458" s="252" t="s">
        <v>16</v>
      </c>
      <c r="D458" s="41">
        <v>51.66</v>
      </c>
      <c r="E458" s="41">
        <v>11.53</v>
      </c>
      <c r="F458" s="116">
        <f t="shared" si="16"/>
        <v>5137.5</v>
      </c>
      <c r="G458" s="27">
        <v>5500</v>
      </c>
      <c r="H458" s="112">
        <v>4775</v>
      </c>
      <c r="I458" s="174" t="s">
        <v>43</v>
      </c>
      <c r="J458" s="40" t="s">
        <v>69</v>
      </c>
      <c r="K458" s="417" t="s">
        <v>21</v>
      </c>
      <c r="L458" s="17" t="s">
        <v>69</v>
      </c>
      <c r="M458" s="108" t="s">
        <v>76</v>
      </c>
      <c r="N458" s="230" t="s">
        <v>3330</v>
      </c>
      <c r="O458" s="205" t="s">
        <v>3126</v>
      </c>
    </row>
    <row r="459" spans="1:15" s="45" customFormat="1" ht="15.75" thickBot="1" x14ac:dyDescent="0.3">
      <c r="A459" s="87" t="s">
        <v>374</v>
      </c>
      <c r="B459" s="237" t="s">
        <v>117</v>
      </c>
      <c r="C459" s="252" t="s">
        <v>16</v>
      </c>
      <c r="D459" s="41">
        <v>51.89</v>
      </c>
      <c r="E459" s="41">
        <v>11.04</v>
      </c>
      <c r="F459" s="116">
        <f t="shared" si="16"/>
        <v>5137.5</v>
      </c>
      <c r="G459" s="17">
        <v>5500</v>
      </c>
      <c r="H459" s="112">
        <v>4775</v>
      </c>
      <c r="I459" s="174" t="s">
        <v>6</v>
      </c>
      <c r="J459" s="40" t="s">
        <v>69</v>
      </c>
      <c r="K459" s="417" t="s">
        <v>21</v>
      </c>
      <c r="L459" s="17" t="s">
        <v>69</v>
      </c>
      <c r="M459" s="108" t="s">
        <v>124</v>
      </c>
      <c r="N459" s="230" t="s">
        <v>759</v>
      </c>
      <c r="O459" s="205" t="s">
        <v>3126</v>
      </c>
    </row>
    <row r="460" spans="1:15" s="2" customFormat="1" ht="15.75" thickBot="1" x14ac:dyDescent="0.3">
      <c r="A460" s="87" t="s">
        <v>374</v>
      </c>
      <c r="B460" s="237" t="s">
        <v>117</v>
      </c>
      <c r="C460" s="252" t="s">
        <v>16</v>
      </c>
      <c r="D460" s="41">
        <v>51.89</v>
      </c>
      <c r="E460" s="41">
        <v>11.04</v>
      </c>
      <c r="F460" s="116">
        <f t="shared" si="16"/>
        <v>5137.5</v>
      </c>
      <c r="G460" s="17">
        <v>5500</v>
      </c>
      <c r="H460" s="112">
        <v>4775</v>
      </c>
      <c r="I460" s="97" t="s">
        <v>18</v>
      </c>
      <c r="J460" s="40" t="s">
        <v>69</v>
      </c>
      <c r="K460" s="417" t="s">
        <v>21</v>
      </c>
      <c r="L460" s="17" t="s">
        <v>69</v>
      </c>
      <c r="M460" s="108" t="s">
        <v>118</v>
      </c>
      <c r="N460" s="230" t="s">
        <v>753</v>
      </c>
      <c r="O460" s="205" t="s">
        <v>3126</v>
      </c>
    </row>
    <row r="461" spans="1:15" s="45" customFormat="1" ht="15.75" thickBot="1" x14ac:dyDescent="0.3">
      <c r="A461" s="87" t="s">
        <v>374</v>
      </c>
      <c r="B461" s="237" t="s">
        <v>117</v>
      </c>
      <c r="C461" s="252" t="s">
        <v>16</v>
      </c>
      <c r="D461" s="41">
        <v>51.89</v>
      </c>
      <c r="E461" s="41">
        <v>11.04</v>
      </c>
      <c r="F461" s="116">
        <f t="shared" si="16"/>
        <v>5137.5</v>
      </c>
      <c r="G461" s="17">
        <v>5500</v>
      </c>
      <c r="H461" s="112">
        <v>4775</v>
      </c>
      <c r="I461" s="174" t="s">
        <v>43</v>
      </c>
      <c r="J461" s="40" t="s">
        <v>69</v>
      </c>
      <c r="K461" s="417" t="s">
        <v>21</v>
      </c>
      <c r="L461" s="17" t="s">
        <v>69</v>
      </c>
      <c r="M461" s="108" t="s">
        <v>123</v>
      </c>
      <c r="N461" s="230" t="s">
        <v>754</v>
      </c>
      <c r="O461" s="205" t="s">
        <v>3126</v>
      </c>
    </row>
    <row r="462" spans="1:15" s="2" customFormat="1" ht="15.75" thickBot="1" x14ac:dyDescent="0.3">
      <c r="A462" s="87" t="s">
        <v>374</v>
      </c>
      <c r="B462" s="237" t="s">
        <v>117</v>
      </c>
      <c r="C462" s="252" t="s">
        <v>16</v>
      </c>
      <c r="D462" s="41">
        <v>51.89</v>
      </c>
      <c r="E462" s="41">
        <v>11.04</v>
      </c>
      <c r="F462" s="116">
        <f t="shared" si="16"/>
        <v>5137.5</v>
      </c>
      <c r="G462" s="17">
        <v>5500</v>
      </c>
      <c r="H462" s="112">
        <v>4775</v>
      </c>
      <c r="I462" s="97" t="s">
        <v>10</v>
      </c>
      <c r="J462" s="40" t="s">
        <v>69</v>
      </c>
      <c r="K462" s="417" t="s">
        <v>21</v>
      </c>
      <c r="L462" s="17" t="s">
        <v>69</v>
      </c>
      <c r="M462" s="108" t="s">
        <v>141</v>
      </c>
      <c r="N462" s="230" t="s">
        <v>755</v>
      </c>
      <c r="O462" s="205" t="s">
        <v>3126</v>
      </c>
    </row>
    <row r="463" spans="1:15" s="2" customFormat="1" ht="15.75" thickBot="1" x14ac:dyDescent="0.3">
      <c r="A463" s="87" t="s">
        <v>388</v>
      </c>
      <c r="B463" s="237" t="s">
        <v>117</v>
      </c>
      <c r="C463" s="252" t="s">
        <v>16</v>
      </c>
      <c r="D463" s="41">
        <v>51.89</v>
      </c>
      <c r="E463" s="41">
        <v>11.04</v>
      </c>
      <c r="F463" s="116">
        <f t="shared" si="16"/>
        <v>5175</v>
      </c>
      <c r="G463" s="17">
        <v>5500</v>
      </c>
      <c r="H463" s="112">
        <v>4850</v>
      </c>
      <c r="I463" s="174" t="s">
        <v>126</v>
      </c>
      <c r="J463" s="40" t="s">
        <v>69</v>
      </c>
      <c r="K463" s="417" t="s">
        <v>21</v>
      </c>
      <c r="L463" s="17" t="s">
        <v>2</v>
      </c>
      <c r="M463" s="108" t="s">
        <v>127</v>
      </c>
      <c r="N463" s="230" t="s">
        <v>756</v>
      </c>
      <c r="O463" s="205" t="s">
        <v>3712</v>
      </c>
    </row>
    <row r="464" spans="1:15" s="45" customFormat="1" x14ac:dyDescent="0.25">
      <c r="A464" s="87" t="s">
        <v>374</v>
      </c>
      <c r="B464" s="237" t="s">
        <v>117</v>
      </c>
      <c r="C464" s="252" t="s">
        <v>16</v>
      </c>
      <c r="D464" s="41">
        <v>51.89</v>
      </c>
      <c r="E464" s="41">
        <v>11.04</v>
      </c>
      <c r="F464" s="116">
        <f t="shared" si="16"/>
        <v>5137.5</v>
      </c>
      <c r="G464" s="17">
        <v>5500</v>
      </c>
      <c r="H464" s="112">
        <v>4775</v>
      </c>
      <c r="I464" s="97" t="s">
        <v>7</v>
      </c>
      <c r="J464" s="40" t="s">
        <v>69</v>
      </c>
      <c r="K464" s="417" t="s">
        <v>21</v>
      </c>
      <c r="L464" s="17" t="s">
        <v>69</v>
      </c>
      <c r="M464" s="108" t="s">
        <v>135</v>
      </c>
      <c r="N464" s="230" t="s">
        <v>757</v>
      </c>
      <c r="O464" s="205" t="s">
        <v>3126</v>
      </c>
    </row>
    <row r="465" spans="1:15" s="45" customFormat="1" x14ac:dyDescent="0.25">
      <c r="A465" s="87" t="s">
        <v>374</v>
      </c>
      <c r="B465" s="237" t="s">
        <v>117</v>
      </c>
      <c r="C465" s="252" t="s">
        <v>16</v>
      </c>
      <c r="D465" s="41">
        <v>51.89</v>
      </c>
      <c r="E465" s="41">
        <v>11.04</v>
      </c>
      <c r="F465" s="116">
        <f t="shared" si="16"/>
        <v>5137.5</v>
      </c>
      <c r="G465" s="17">
        <v>5500</v>
      </c>
      <c r="H465" s="112">
        <v>4775</v>
      </c>
      <c r="I465" s="97" t="s">
        <v>120</v>
      </c>
      <c r="J465" s="40" t="s">
        <v>69</v>
      </c>
      <c r="K465" s="417" t="s">
        <v>21</v>
      </c>
      <c r="L465" s="17" t="s">
        <v>69</v>
      </c>
      <c r="M465" s="108" t="s">
        <v>121</v>
      </c>
      <c r="N465" s="230" t="s">
        <v>758</v>
      </c>
      <c r="O465" s="205" t="s">
        <v>3126</v>
      </c>
    </row>
    <row r="466" spans="1:15" s="2" customFormat="1" x14ac:dyDescent="0.25">
      <c r="A466" s="87" t="s">
        <v>387</v>
      </c>
      <c r="B466" s="237" t="s">
        <v>117</v>
      </c>
      <c r="C466" s="252" t="s">
        <v>16</v>
      </c>
      <c r="D466" s="41">
        <v>51.89</v>
      </c>
      <c r="E466" s="41">
        <v>11.04</v>
      </c>
      <c r="F466" s="116">
        <f t="shared" si="16"/>
        <v>5137</v>
      </c>
      <c r="G466" s="17">
        <v>5207</v>
      </c>
      <c r="H466" s="112">
        <v>5067</v>
      </c>
      <c r="I466" s="97" t="s">
        <v>128</v>
      </c>
      <c r="J466" s="40" t="s">
        <v>69</v>
      </c>
      <c r="K466" s="417" t="s">
        <v>21</v>
      </c>
      <c r="L466" s="17" t="s">
        <v>2</v>
      </c>
      <c r="M466" s="108" t="s">
        <v>129</v>
      </c>
      <c r="N466" s="230" t="s">
        <v>760</v>
      </c>
      <c r="O466" s="205" t="s">
        <v>3422</v>
      </c>
    </row>
    <row r="467" spans="1:15" s="45" customFormat="1" ht="15.75" thickBot="1" x14ac:dyDescent="0.3">
      <c r="A467" s="87" t="s">
        <v>387</v>
      </c>
      <c r="B467" s="237" t="s">
        <v>117</v>
      </c>
      <c r="C467" s="252" t="s">
        <v>16</v>
      </c>
      <c r="D467" s="41">
        <v>51.89</v>
      </c>
      <c r="E467" s="41">
        <v>11.04</v>
      </c>
      <c r="F467" s="116">
        <f t="shared" si="16"/>
        <v>5129</v>
      </c>
      <c r="G467" s="17">
        <v>5206</v>
      </c>
      <c r="H467" s="112">
        <v>5052</v>
      </c>
      <c r="I467" s="97" t="s">
        <v>7</v>
      </c>
      <c r="J467" s="40" t="s">
        <v>84</v>
      </c>
      <c r="K467" s="417" t="s">
        <v>21</v>
      </c>
      <c r="L467" s="17" t="s">
        <v>14</v>
      </c>
      <c r="M467" s="108" t="s">
        <v>136</v>
      </c>
      <c r="N467" s="230" t="s">
        <v>761</v>
      </c>
      <c r="O467" s="205" t="s">
        <v>3751</v>
      </c>
    </row>
    <row r="468" spans="1:15" s="45" customFormat="1" ht="15.75" thickBot="1" x14ac:dyDescent="0.3">
      <c r="A468" s="87" t="s">
        <v>387</v>
      </c>
      <c r="B468" s="237" t="s">
        <v>117</v>
      </c>
      <c r="C468" s="252" t="s">
        <v>16</v>
      </c>
      <c r="D468" s="41">
        <v>51.89</v>
      </c>
      <c r="E468" s="41">
        <v>11.04</v>
      </c>
      <c r="F468" s="116">
        <f t="shared" si="16"/>
        <v>5129</v>
      </c>
      <c r="G468" s="17">
        <v>5206</v>
      </c>
      <c r="H468" s="112">
        <v>5052</v>
      </c>
      <c r="I468" s="174" t="s">
        <v>6</v>
      </c>
      <c r="J468" s="40" t="s">
        <v>84</v>
      </c>
      <c r="K468" s="417" t="s">
        <v>21</v>
      </c>
      <c r="L468" s="17" t="s">
        <v>14</v>
      </c>
      <c r="M468" s="108" t="s">
        <v>125</v>
      </c>
      <c r="N468" s="230" t="s">
        <v>762</v>
      </c>
      <c r="O468" s="205" t="s">
        <v>3410</v>
      </c>
    </row>
    <row r="469" spans="1:15" s="2" customFormat="1" x14ac:dyDescent="0.25">
      <c r="A469" s="87" t="s">
        <v>387</v>
      </c>
      <c r="B469" s="237" t="s">
        <v>117</v>
      </c>
      <c r="C469" s="252" t="s">
        <v>16</v>
      </c>
      <c r="D469" s="41">
        <v>51.89</v>
      </c>
      <c r="E469" s="41">
        <v>11.04</v>
      </c>
      <c r="F469" s="116">
        <f t="shared" si="16"/>
        <v>4989</v>
      </c>
      <c r="G469" s="17">
        <v>5032</v>
      </c>
      <c r="H469" s="112">
        <v>4946</v>
      </c>
      <c r="I469" s="97" t="s">
        <v>130</v>
      </c>
      <c r="J469" s="40" t="s">
        <v>69</v>
      </c>
      <c r="K469" s="417" t="s">
        <v>21</v>
      </c>
      <c r="L469" s="17" t="s">
        <v>2</v>
      </c>
      <c r="M469" s="108" t="s">
        <v>131</v>
      </c>
      <c r="N469" s="230" t="s">
        <v>772</v>
      </c>
      <c r="O469" s="205" t="s">
        <v>3411</v>
      </c>
    </row>
    <row r="470" spans="1:15" s="2" customFormat="1" x14ac:dyDescent="0.25">
      <c r="A470" s="87" t="s">
        <v>387</v>
      </c>
      <c r="B470" s="237" t="s">
        <v>117</v>
      </c>
      <c r="C470" s="252" t="s">
        <v>16</v>
      </c>
      <c r="D470" s="41">
        <v>51.89</v>
      </c>
      <c r="E470" s="41">
        <v>11.04</v>
      </c>
      <c r="F470" s="116">
        <f t="shared" si="16"/>
        <v>4988</v>
      </c>
      <c r="G470" s="17">
        <v>5034</v>
      </c>
      <c r="H470" s="112">
        <v>4942</v>
      </c>
      <c r="I470" s="97" t="s">
        <v>142</v>
      </c>
      <c r="J470" s="40" t="s">
        <v>133</v>
      </c>
      <c r="K470" s="417" t="s">
        <v>21</v>
      </c>
      <c r="L470" s="17" t="s">
        <v>14</v>
      </c>
      <c r="M470" s="108" t="s">
        <v>143</v>
      </c>
      <c r="N470" s="230" t="s">
        <v>773</v>
      </c>
      <c r="O470" s="205" t="s">
        <v>3421</v>
      </c>
    </row>
    <row r="471" spans="1:15" s="45" customFormat="1" x14ac:dyDescent="0.25">
      <c r="A471" s="107" t="s">
        <v>3264</v>
      </c>
      <c r="B471" s="237" t="s">
        <v>117</v>
      </c>
      <c r="C471" s="252" t="s">
        <v>16</v>
      </c>
      <c r="D471" s="41">
        <v>51.89</v>
      </c>
      <c r="E471" s="41">
        <v>11.04</v>
      </c>
      <c r="F471" s="116">
        <f t="shared" si="16"/>
        <v>5105</v>
      </c>
      <c r="G471" s="17">
        <v>5206</v>
      </c>
      <c r="H471" s="112">
        <v>5004</v>
      </c>
      <c r="I471" s="97" t="s">
        <v>138</v>
      </c>
      <c r="J471" s="40" t="s">
        <v>69</v>
      </c>
      <c r="K471" s="417" t="s">
        <v>21</v>
      </c>
      <c r="L471" s="17" t="s">
        <v>2</v>
      </c>
      <c r="M471" s="108" t="s">
        <v>139</v>
      </c>
      <c r="N471" s="230" t="s">
        <v>766</v>
      </c>
      <c r="O471" s="205" t="s">
        <v>3409</v>
      </c>
    </row>
    <row r="472" spans="1:15" s="45" customFormat="1" x14ac:dyDescent="0.25">
      <c r="A472" s="107" t="s">
        <v>3264</v>
      </c>
      <c r="B472" s="208" t="s">
        <v>65</v>
      </c>
      <c r="C472" s="252" t="s">
        <v>16</v>
      </c>
      <c r="D472" s="41">
        <v>51.66</v>
      </c>
      <c r="E472" s="41">
        <v>11.53</v>
      </c>
      <c r="F472" s="116">
        <f t="shared" si="16"/>
        <v>5122</v>
      </c>
      <c r="G472" s="27">
        <v>5223</v>
      </c>
      <c r="H472" s="112">
        <v>5021</v>
      </c>
      <c r="I472" s="97" t="s">
        <v>68</v>
      </c>
      <c r="J472" s="40" t="s">
        <v>69</v>
      </c>
      <c r="K472" s="417" t="s">
        <v>21</v>
      </c>
      <c r="L472" s="17" t="s">
        <v>2</v>
      </c>
      <c r="M472" s="108" t="s">
        <v>70</v>
      </c>
      <c r="N472" s="239" t="s">
        <v>3326</v>
      </c>
      <c r="O472" s="205" t="s">
        <v>3714</v>
      </c>
    </row>
    <row r="473" spans="1:15" s="45" customFormat="1" x14ac:dyDescent="0.25">
      <c r="A473" s="87" t="s">
        <v>2244</v>
      </c>
      <c r="B473" s="238" t="s">
        <v>3261</v>
      </c>
      <c r="C473" s="252" t="s">
        <v>16</v>
      </c>
      <c r="D473" s="90">
        <v>48.78</v>
      </c>
      <c r="E473" s="90">
        <v>9.18</v>
      </c>
      <c r="F473" s="116">
        <f t="shared" si="16"/>
        <v>5193</v>
      </c>
      <c r="G473" s="349">
        <v>5310</v>
      </c>
      <c r="H473" s="349">
        <v>5076</v>
      </c>
      <c r="I473" s="97" t="s">
        <v>85</v>
      </c>
      <c r="J473" s="40" t="s">
        <v>69</v>
      </c>
      <c r="K473" s="417" t="s">
        <v>21</v>
      </c>
      <c r="L473" s="17" t="s">
        <v>2</v>
      </c>
      <c r="M473" s="108" t="s">
        <v>3262</v>
      </c>
      <c r="N473" s="239" t="s">
        <v>3261</v>
      </c>
      <c r="O473" s="205" t="s">
        <v>4129</v>
      </c>
    </row>
    <row r="474" spans="1:15" s="45" customFormat="1" x14ac:dyDescent="0.25">
      <c r="A474" s="107" t="s">
        <v>379</v>
      </c>
      <c r="B474" s="238" t="s">
        <v>117</v>
      </c>
      <c r="C474" s="252" t="s">
        <v>16</v>
      </c>
      <c r="D474" s="41">
        <v>51.895833330000002</v>
      </c>
      <c r="E474" s="41">
        <v>11.04666667</v>
      </c>
      <c r="F474" s="116">
        <f t="shared" si="16"/>
        <v>5272.5</v>
      </c>
      <c r="G474" s="27">
        <v>5298</v>
      </c>
      <c r="H474" s="112">
        <v>5247</v>
      </c>
      <c r="I474" s="97" t="s">
        <v>660</v>
      </c>
      <c r="J474" s="40" t="s">
        <v>69</v>
      </c>
      <c r="K474" s="417" t="s">
        <v>21</v>
      </c>
      <c r="L474" s="17" t="s">
        <v>69</v>
      </c>
      <c r="M474" s="108" t="s">
        <v>725</v>
      </c>
      <c r="N474" s="230" t="s">
        <v>726</v>
      </c>
      <c r="O474" s="205" t="s">
        <v>3423</v>
      </c>
    </row>
    <row r="475" spans="1:15" s="45" customFormat="1" x14ac:dyDescent="0.25">
      <c r="A475" s="87" t="s">
        <v>379</v>
      </c>
      <c r="B475" s="238" t="s">
        <v>117</v>
      </c>
      <c r="C475" s="252" t="s">
        <v>16</v>
      </c>
      <c r="D475" s="41">
        <v>51.895833330000002</v>
      </c>
      <c r="E475" s="41">
        <v>11.04666667</v>
      </c>
      <c r="F475" s="116">
        <f t="shared" si="16"/>
        <v>5137.5</v>
      </c>
      <c r="G475" s="27">
        <v>5500</v>
      </c>
      <c r="H475" s="112">
        <v>4775</v>
      </c>
      <c r="I475" s="235" t="s">
        <v>2399</v>
      </c>
      <c r="J475" s="40" t="s">
        <v>69</v>
      </c>
      <c r="K475" s="330" t="s">
        <v>3365</v>
      </c>
      <c r="L475" s="17" t="s">
        <v>69</v>
      </c>
      <c r="M475" s="354" t="s">
        <v>3366</v>
      </c>
      <c r="N475" s="230" t="s">
        <v>3364</v>
      </c>
      <c r="O475" s="205" t="s">
        <v>3408</v>
      </c>
    </row>
    <row r="476" spans="1:15" s="45" customFormat="1" x14ac:dyDescent="0.25">
      <c r="A476" s="87" t="s">
        <v>379</v>
      </c>
      <c r="B476" s="238" t="s">
        <v>3367</v>
      </c>
      <c r="C476" s="252" t="s">
        <v>16</v>
      </c>
      <c r="D476" s="400">
        <v>48.78</v>
      </c>
      <c r="E476" s="400">
        <v>9.18</v>
      </c>
      <c r="F476" s="116">
        <f t="shared" si="16"/>
        <v>5175</v>
      </c>
      <c r="G476" s="27">
        <v>5500</v>
      </c>
      <c r="H476" s="112">
        <v>4850</v>
      </c>
      <c r="I476" s="235" t="s">
        <v>7</v>
      </c>
      <c r="J476" s="40" t="s">
        <v>69</v>
      </c>
      <c r="K476" s="417" t="s">
        <v>21</v>
      </c>
      <c r="L476" s="17" t="s">
        <v>2</v>
      </c>
      <c r="M476" s="354" t="s">
        <v>3368</v>
      </c>
      <c r="N476" s="239" t="s">
        <v>3377</v>
      </c>
      <c r="O476" s="205" t="s">
        <v>3713</v>
      </c>
    </row>
    <row r="477" spans="1:15" s="45" customFormat="1" x14ac:dyDescent="0.25">
      <c r="A477" s="87" t="s">
        <v>379</v>
      </c>
      <c r="B477" s="238" t="s">
        <v>3367</v>
      </c>
      <c r="C477" s="252" t="s">
        <v>16</v>
      </c>
      <c r="D477" s="400">
        <v>48.78</v>
      </c>
      <c r="E477" s="400">
        <v>9.18</v>
      </c>
      <c r="F477" s="116">
        <f t="shared" si="16"/>
        <v>5150</v>
      </c>
      <c r="G477" s="27">
        <v>5500</v>
      </c>
      <c r="H477" s="112">
        <v>4800</v>
      </c>
      <c r="I477" s="235" t="s">
        <v>1858</v>
      </c>
      <c r="J477" s="40" t="s">
        <v>69</v>
      </c>
      <c r="K477" s="417" t="s">
        <v>21</v>
      </c>
      <c r="L477" s="17" t="s">
        <v>69</v>
      </c>
      <c r="M477" s="354" t="s">
        <v>3369</v>
      </c>
      <c r="N477" s="239" t="s">
        <v>3378</v>
      </c>
      <c r="O477" s="205"/>
    </row>
    <row r="478" spans="1:15" s="45" customFormat="1" x14ac:dyDescent="0.25">
      <c r="A478" s="87" t="s">
        <v>379</v>
      </c>
      <c r="B478" s="238" t="s">
        <v>3367</v>
      </c>
      <c r="C478" s="252" t="s">
        <v>16</v>
      </c>
      <c r="D478" s="400">
        <v>48.78</v>
      </c>
      <c r="E478" s="400">
        <v>9.18</v>
      </c>
      <c r="F478" s="116">
        <f t="shared" si="16"/>
        <v>5175</v>
      </c>
      <c r="G478" s="27">
        <v>5500</v>
      </c>
      <c r="H478" s="112">
        <v>4850</v>
      </c>
      <c r="I478" s="235" t="s">
        <v>7</v>
      </c>
      <c r="J478" s="40" t="s">
        <v>69</v>
      </c>
      <c r="K478" s="417" t="s">
        <v>21</v>
      </c>
      <c r="L478" s="17" t="s">
        <v>69</v>
      </c>
      <c r="M478" s="354" t="s">
        <v>3370</v>
      </c>
      <c r="N478" s="239" t="s">
        <v>3379</v>
      </c>
      <c r="O478" s="205" t="s">
        <v>3713</v>
      </c>
    </row>
    <row r="479" spans="1:15" s="45" customFormat="1" x14ac:dyDescent="0.25">
      <c r="A479" s="87" t="s">
        <v>379</v>
      </c>
      <c r="B479" s="238" t="s">
        <v>3367</v>
      </c>
      <c r="C479" s="252" t="s">
        <v>16</v>
      </c>
      <c r="D479" s="400">
        <v>48.78</v>
      </c>
      <c r="E479" s="400">
        <v>9.18</v>
      </c>
      <c r="F479" s="116">
        <f t="shared" ref="F479:F504" si="17">AVERAGE(G479:H479)</f>
        <v>5150</v>
      </c>
      <c r="G479" s="27">
        <v>5500</v>
      </c>
      <c r="H479" s="112">
        <v>4800</v>
      </c>
      <c r="I479" s="235" t="s">
        <v>18</v>
      </c>
      <c r="J479" s="40" t="s">
        <v>69</v>
      </c>
      <c r="K479" s="417" t="s">
        <v>21</v>
      </c>
      <c r="L479" s="17" t="s">
        <v>69</v>
      </c>
      <c r="M479" s="354" t="s">
        <v>3371</v>
      </c>
      <c r="N479" s="239" t="s">
        <v>3380</v>
      </c>
      <c r="O479" s="205"/>
    </row>
    <row r="480" spans="1:15" s="45" customFormat="1" x14ac:dyDescent="0.25">
      <c r="A480" s="87" t="s">
        <v>379</v>
      </c>
      <c r="B480" s="238" t="s">
        <v>3367</v>
      </c>
      <c r="C480" s="252" t="s">
        <v>16</v>
      </c>
      <c r="D480" s="400">
        <v>48.78</v>
      </c>
      <c r="E480" s="400">
        <v>9.18</v>
      </c>
      <c r="F480" s="116">
        <f t="shared" si="17"/>
        <v>5150</v>
      </c>
      <c r="G480" s="27">
        <v>5500</v>
      </c>
      <c r="H480" s="112">
        <v>4800</v>
      </c>
      <c r="I480" s="235" t="s">
        <v>3386</v>
      </c>
      <c r="J480" s="40" t="s">
        <v>69</v>
      </c>
      <c r="K480" s="417" t="s">
        <v>21</v>
      </c>
      <c r="L480" s="17" t="s">
        <v>69</v>
      </c>
      <c r="M480" s="354" t="s">
        <v>3372</v>
      </c>
      <c r="N480" s="239" t="s">
        <v>3381</v>
      </c>
      <c r="O480" s="205"/>
    </row>
    <row r="481" spans="1:15" s="45" customFormat="1" x14ac:dyDescent="0.25">
      <c r="A481" s="87" t="s">
        <v>379</v>
      </c>
      <c r="B481" s="238" t="s">
        <v>3367</v>
      </c>
      <c r="C481" s="252" t="s">
        <v>16</v>
      </c>
      <c r="D481" s="400">
        <v>48.78</v>
      </c>
      <c r="E481" s="400">
        <v>9.18</v>
      </c>
      <c r="F481" s="116">
        <f t="shared" si="17"/>
        <v>5150</v>
      </c>
      <c r="G481" s="27">
        <v>5500</v>
      </c>
      <c r="H481" s="112">
        <v>4800</v>
      </c>
      <c r="I481" s="235" t="s">
        <v>7</v>
      </c>
      <c r="J481" s="40" t="s">
        <v>69</v>
      </c>
      <c r="K481" s="417" t="s">
        <v>21</v>
      </c>
      <c r="L481" s="17" t="s">
        <v>69</v>
      </c>
      <c r="M481" s="354" t="s">
        <v>3373</v>
      </c>
      <c r="N481" s="239" t="s">
        <v>3382</v>
      </c>
      <c r="O481" s="205"/>
    </row>
    <row r="482" spans="1:15" s="45" customFormat="1" x14ac:dyDescent="0.25">
      <c r="A482" s="87" t="s">
        <v>379</v>
      </c>
      <c r="B482" s="238" t="s">
        <v>3367</v>
      </c>
      <c r="C482" s="252" t="s">
        <v>16</v>
      </c>
      <c r="D482" s="400">
        <v>48.78</v>
      </c>
      <c r="E482" s="400">
        <v>9.18</v>
      </c>
      <c r="F482" s="116">
        <f t="shared" si="17"/>
        <v>5175</v>
      </c>
      <c r="G482" s="27">
        <v>5500</v>
      </c>
      <c r="H482" s="112">
        <v>4850</v>
      </c>
      <c r="I482" s="235" t="s">
        <v>58</v>
      </c>
      <c r="J482" s="40" t="s">
        <v>69</v>
      </c>
      <c r="K482" s="417" t="s">
        <v>21</v>
      </c>
      <c r="L482" s="17" t="s">
        <v>2</v>
      </c>
      <c r="M482" s="354" t="s">
        <v>3374</v>
      </c>
      <c r="N482" s="239" t="s">
        <v>3383</v>
      </c>
      <c r="O482" s="205" t="s">
        <v>3713</v>
      </c>
    </row>
    <row r="483" spans="1:15" s="45" customFormat="1" x14ac:dyDescent="0.25">
      <c r="A483" s="87" t="s">
        <v>379</v>
      </c>
      <c r="B483" s="238" t="s">
        <v>3367</v>
      </c>
      <c r="C483" s="252" t="s">
        <v>16</v>
      </c>
      <c r="D483" s="400">
        <v>48.78</v>
      </c>
      <c r="E483" s="400">
        <v>9.18</v>
      </c>
      <c r="F483" s="116">
        <f t="shared" si="17"/>
        <v>5150</v>
      </c>
      <c r="G483" s="27">
        <v>5500</v>
      </c>
      <c r="H483" s="112">
        <v>4800</v>
      </c>
      <c r="I483" s="235" t="s">
        <v>660</v>
      </c>
      <c r="J483" s="40" t="s">
        <v>69</v>
      </c>
      <c r="K483" s="417" t="s">
        <v>21</v>
      </c>
      <c r="L483" s="17" t="s">
        <v>69</v>
      </c>
      <c r="M483" s="354" t="s">
        <v>3375</v>
      </c>
      <c r="N483" s="239" t="s">
        <v>3384</v>
      </c>
      <c r="O483" s="205"/>
    </row>
    <row r="484" spans="1:15" s="45" customFormat="1" ht="15.75" thickBot="1" x14ac:dyDescent="0.3">
      <c r="A484" s="87" t="s">
        <v>379</v>
      </c>
      <c r="B484" s="238" t="s">
        <v>3367</v>
      </c>
      <c r="C484" s="252" t="s">
        <v>16</v>
      </c>
      <c r="D484" s="400">
        <v>48.78</v>
      </c>
      <c r="E484" s="400">
        <v>9.18</v>
      </c>
      <c r="F484" s="116">
        <f t="shared" si="17"/>
        <v>5150</v>
      </c>
      <c r="G484" s="27">
        <v>5500</v>
      </c>
      <c r="H484" s="112">
        <v>4800</v>
      </c>
      <c r="I484" s="235" t="s">
        <v>58</v>
      </c>
      <c r="J484" s="40" t="s">
        <v>69</v>
      </c>
      <c r="K484" s="417" t="s">
        <v>21</v>
      </c>
      <c r="L484" s="17" t="s">
        <v>69</v>
      </c>
      <c r="M484" s="354" t="s">
        <v>3376</v>
      </c>
      <c r="N484" s="239" t="s">
        <v>3385</v>
      </c>
      <c r="O484" s="205"/>
    </row>
    <row r="485" spans="1:15" s="45" customFormat="1" ht="15.75" thickBot="1" x14ac:dyDescent="0.3">
      <c r="A485" s="87" t="s">
        <v>564</v>
      </c>
      <c r="B485" s="238" t="s">
        <v>117</v>
      </c>
      <c r="C485" s="252" t="s">
        <v>16</v>
      </c>
      <c r="D485" s="41">
        <v>51.895833330000002</v>
      </c>
      <c r="E485" s="41">
        <v>11.04666667</v>
      </c>
      <c r="F485" s="116">
        <f t="shared" si="17"/>
        <v>5176</v>
      </c>
      <c r="G485" s="27">
        <v>5295</v>
      </c>
      <c r="H485" s="112">
        <v>5057</v>
      </c>
      <c r="I485" s="174" t="s">
        <v>83</v>
      </c>
      <c r="J485" s="40" t="s">
        <v>69</v>
      </c>
      <c r="K485" s="417" t="s">
        <v>21</v>
      </c>
      <c r="L485" s="17" t="s">
        <v>2</v>
      </c>
      <c r="M485" s="108" t="s">
        <v>728</v>
      </c>
      <c r="N485" s="239" t="s">
        <v>729</v>
      </c>
      <c r="O485" s="205" t="s">
        <v>3420</v>
      </c>
    </row>
    <row r="486" spans="1:15" s="45" customFormat="1" ht="15.75" thickBot="1" x14ac:dyDescent="0.3">
      <c r="A486" s="87" t="s">
        <v>564</v>
      </c>
      <c r="B486" s="238" t="s">
        <v>117</v>
      </c>
      <c r="C486" s="252" t="s">
        <v>16</v>
      </c>
      <c r="D486" s="41">
        <v>51.895833330000002</v>
      </c>
      <c r="E486" s="41">
        <v>11.04666667</v>
      </c>
      <c r="F486" s="116">
        <f t="shared" si="17"/>
        <v>5175</v>
      </c>
      <c r="G486" s="27">
        <v>5500</v>
      </c>
      <c r="H486" s="112">
        <v>4850</v>
      </c>
      <c r="I486" s="97" t="s">
        <v>730</v>
      </c>
      <c r="J486" s="40" t="s">
        <v>69</v>
      </c>
      <c r="K486" s="417" t="s">
        <v>21</v>
      </c>
      <c r="L486" s="17" t="s">
        <v>2</v>
      </c>
      <c r="M486" s="108" t="s">
        <v>731</v>
      </c>
      <c r="N486" s="230" t="s">
        <v>732</v>
      </c>
      <c r="O486" s="205" t="s">
        <v>3413</v>
      </c>
    </row>
    <row r="487" spans="1:15" s="45" customFormat="1" ht="15.75" thickBot="1" x14ac:dyDescent="0.3">
      <c r="A487" s="87" t="s">
        <v>564</v>
      </c>
      <c r="B487" s="238" t="s">
        <v>117</v>
      </c>
      <c r="C487" s="252" t="s">
        <v>16</v>
      </c>
      <c r="D487" s="41">
        <v>51.895833330000002</v>
      </c>
      <c r="E487" s="41">
        <v>11.04666667</v>
      </c>
      <c r="F487" s="116">
        <f t="shared" si="17"/>
        <v>5175</v>
      </c>
      <c r="G487" s="27">
        <v>5500</v>
      </c>
      <c r="H487" s="112">
        <v>4850</v>
      </c>
      <c r="I487" s="174" t="s">
        <v>733</v>
      </c>
      <c r="J487" s="40" t="s">
        <v>69</v>
      </c>
      <c r="K487" s="417" t="s">
        <v>21</v>
      </c>
      <c r="L487" s="17" t="s">
        <v>2</v>
      </c>
      <c r="M487" s="108" t="s">
        <v>734</v>
      </c>
      <c r="N487" s="230" t="s">
        <v>735</v>
      </c>
      <c r="O487" s="205" t="s">
        <v>3414</v>
      </c>
    </row>
    <row r="488" spans="1:15" s="45" customFormat="1" ht="15.75" thickBot="1" x14ac:dyDescent="0.3">
      <c r="A488" s="87" t="s">
        <v>564</v>
      </c>
      <c r="B488" s="238" t="s">
        <v>117</v>
      </c>
      <c r="C488" s="252" t="s">
        <v>16</v>
      </c>
      <c r="D488" s="41">
        <v>51.895833330000002</v>
      </c>
      <c r="E488" s="41">
        <v>11.04666667</v>
      </c>
      <c r="F488" s="116">
        <f t="shared" si="17"/>
        <v>5175</v>
      </c>
      <c r="G488" s="27">
        <v>5500</v>
      </c>
      <c r="H488" s="112">
        <v>4850</v>
      </c>
      <c r="I488" s="174" t="s">
        <v>126</v>
      </c>
      <c r="J488" s="40" t="s">
        <v>84</v>
      </c>
      <c r="K488" s="417" t="s">
        <v>21</v>
      </c>
      <c r="L488" s="17" t="s">
        <v>14</v>
      </c>
      <c r="M488" s="108" t="s">
        <v>736</v>
      </c>
      <c r="N488" s="239" t="s">
        <v>737</v>
      </c>
      <c r="O488" s="205" t="s">
        <v>3412</v>
      </c>
    </row>
    <row r="489" spans="1:15" s="45" customFormat="1" x14ac:dyDescent="0.25">
      <c r="A489" s="87" t="s">
        <v>564</v>
      </c>
      <c r="B489" s="238" t="s">
        <v>117</v>
      </c>
      <c r="C489" s="252" t="s">
        <v>16</v>
      </c>
      <c r="D489" s="41">
        <v>51.895833330000002</v>
      </c>
      <c r="E489" s="41">
        <v>11.04666667</v>
      </c>
      <c r="F489" s="116">
        <f t="shared" si="17"/>
        <v>5175</v>
      </c>
      <c r="G489" s="27">
        <v>5500</v>
      </c>
      <c r="H489" s="112">
        <v>4850</v>
      </c>
      <c r="I489" s="97" t="s">
        <v>7</v>
      </c>
      <c r="J489" s="40" t="s">
        <v>84</v>
      </c>
      <c r="K489" s="417" t="s">
        <v>21</v>
      </c>
      <c r="L489" s="17" t="s">
        <v>14</v>
      </c>
      <c r="M489" s="108" t="s">
        <v>738</v>
      </c>
      <c r="N489" s="239" t="s">
        <v>739</v>
      </c>
      <c r="O489" s="205" t="s">
        <v>3415</v>
      </c>
    </row>
    <row r="490" spans="1:15" s="45" customFormat="1" x14ac:dyDescent="0.25">
      <c r="A490" s="87" t="s">
        <v>564</v>
      </c>
      <c r="B490" s="238" t="s">
        <v>117</v>
      </c>
      <c r="C490" s="252" t="s">
        <v>16</v>
      </c>
      <c r="D490" s="41">
        <v>51.895833330000002</v>
      </c>
      <c r="E490" s="41">
        <v>11.04666667</v>
      </c>
      <c r="F490" s="116">
        <f t="shared" si="17"/>
        <v>5175</v>
      </c>
      <c r="G490" s="27">
        <v>5500</v>
      </c>
      <c r="H490" s="112">
        <v>4850</v>
      </c>
      <c r="I490" s="97" t="s">
        <v>7</v>
      </c>
      <c r="J490" s="40" t="s">
        <v>69</v>
      </c>
      <c r="K490" s="417" t="s">
        <v>21</v>
      </c>
      <c r="L490" s="17" t="s">
        <v>2</v>
      </c>
      <c r="M490" s="108" t="s">
        <v>740</v>
      </c>
      <c r="N490" s="239" t="s">
        <v>741</v>
      </c>
      <c r="O490" s="205" t="s">
        <v>3417</v>
      </c>
    </row>
    <row r="491" spans="1:15" s="45" customFormat="1" x14ac:dyDescent="0.25">
      <c r="A491" s="87" t="s">
        <v>564</v>
      </c>
      <c r="B491" s="238" t="s">
        <v>117</v>
      </c>
      <c r="C491" s="252" t="s">
        <v>16</v>
      </c>
      <c r="D491" s="41">
        <v>51.895833330000002</v>
      </c>
      <c r="E491" s="41">
        <v>11.04666667</v>
      </c>
      <c r="F491" s="116">
        <f t="shared" si="17"/>
        <v>5175</v>
      </c>
      <c r="G491" s="27">
        <v>5500</v>
      </c>
      <c r="H491" s="112">
        <v>4850</v>
      </c>
      <c r="I491" s="97" t="s">
        <v>742</v>
      </c>
      <c r="J491" s="40" t="s">
        <v>84</v>
      </c>
      <c r="K491" s="417" t="s">
        <v>21</v>
      </c>
      <c r="L491" s="17" t="s">
        <v>14</v>
      </c>
      <c r="M491" s="108" t="s">
        <v>743</v>
      </c>
      <c r="N491" s="239" t="s">
        <v>744</v>
      </c>
      <c r="O491" s="205" t="s">
        <v>3416</v>
      </c>
    </row>
    <row r="492" spans="1:15" s="45" customFormat="1" x14ac:dyDescent="0.25">
      <c r="A492" s="87" t="s">
        <v>564</v>
      </c>
      <c r="B492" s="238" t="s">
        <v>117</v>
      </c>
      <c r="C492" s="252" t="s">
        <v>16</v>
      </c>
      <c r="D492" s="41">
        <v>51.895833330000002</v>
      </c>
      <c r="E492" s="41">
        <v>11.04666667</v>
      </c>
      <c r="F492" s="116">
        <f t="shared" si="17"/>
        <v>5175</v>
      </c>
      <c r="G492" s="27">
        <v>5500</v>
      </c>
      <c r="H492" s="112">
        <v>4850</v>
      </c>
      <c r="I492" s="97" t="s">
        <v>122</v>
      </c>
      <c r="J492" s="40" t="s">
        <v>69</v>
      </c>
      <c r="K492" s="417" t="s">
        <v>21</v>
      </c>
      <c r="L492" s="17" t="s">
        <v>2</v>
      </c>
      <c r="M492" s="108" t="s">
        <v>745</v>
      </c>
      <c r="N492" s="239" t="s">
        <v>746</v>
      </c>
      <c r="O492" s="205" t="s">
        <v>3418</v>
      </c>
    </row>
    <row r="493" spans="1:15" s="45" customFormat="1" x14ac:dyDescent="0.25">
      <c r="A493" s="87" t="s">
        <v>564</v>
      </c>
      <c r="B493" s="238" t="s">
        <v>117</v>
      </c>
      <c r="C493" s="252" t="s">
        <v>16</v>
      </c>
      <c r="D493" s="41">
        <v>51.895833330000002</v>
      </c>
      <c r="E493" s="41">
        <v>11.04666667</v>
      </c>
      <c r="F493" s="116">
        <f t="shared" si="17"/>
        <v>5175</v>
      </c>
      <c r="G493" s="27">
        <v>5500</v>
      </c>
      <c r="H493" s="112">
        <v>4850</v>
      </c>
      <c r="I493" s="97" t="s">
        <v>38</v>
      </c>
      <c r="J493" s="40" t="s">
        <v>69</v>
      </c>
      <c r="K493" s="417" t="s">
        <v>21</v>
      </c>
      <c r="L493" s="17" t="s">
        <v>2</v>
      </c>
      <c r="M493" s="108" t="s">
        <v>747</v>
      </c>
      <c r="N493" s="239" t="s">
        <v>748</v>
      </c>
      <c r="O493" s="205" t="s">
        <v>3419</v>
      </c>
    </row>
    <row r="494" spans="1:15" s="45" customFormat="1" x14ac:dyDescent="0.25">
      <c r="A494" s="87" t="s">
        <v>564</v>
      </c>
      <c r="B494" s="238" t="s">
        <v>117</v>
      </c>
      <c r="C494" s="252" t="s">
        <v>16</v>
      </c>
      <c r="D494" s="41">
        <v>51.895833330000002</v>
      </c>
      <c r="E494" s="41">
        <v>11.04666667</v>
      </c>
      <c r="F494" s="116">
        <f t="shared" si="17"/>
        <v>5175</v>
      </c>
      <c r="G494" s="27">
        <v>5500</v>
      </c>
      <c r="H494" s="112">
        <v>4850</v>
      </c>
      <c r="I494" s="97" t="s">
        <v>730</v>
      </c>
      <c r="J494" s="40" t="s">
        <v>69</v>
      </c>
      <c r="K494" s="417" t="s">
        <v>21</v>
      </c>
      <c r="L494" s="17" t="s">
        <v>2</v>
      </c>
      <c r="M494" s="108" t="s">
        <v>749</v>
      </c>
      <c r="N494" s="239" t="s">
        <v>750</v>
      </c>
      <c r="O494" s="205" t="s">
        <v>3426</v>
      </c>
    </row>
    <row r="495" spans="1:15" s="45" customFormat="1" x14ac:dyDescent="0.25">
      <c r="A495" s="87" t="s">
        <v>564</v>
      </c>
      <c r="B495" s="238" t="s">
        <v>117</v>
      </c>
      <c r="C495" s="252" t="s">
        <v>16</v>
      </c>
      <c r="D495" s="41">
        <v>51.895833330000002</v>
      </c>
      <c r="E495" s="41">
        <v>11.04666667</v>
      </c>
      <c r="F495" s="116">
        <f t="shared" si="17"/>
        <v>5175</v>
      </c>
      <c r="G495" s="27">
        <v>5350</v>
      </c>
      <c r="H495" s="112">
        <v>5000</v>
      </c>
      <c r="I495" s="97" t="s">
        <v>7</v>
      </c>
      <c r="J495" s="40" t="s">
        <v>69</v>
      </c>
      <c r="K495" s="417" t="s">
        <v>21</v>
      </c>
      <c r="L495" s="17" t="s">
        <v>2</v>
      </c>
      <c r="M495" s="108" t="s">
        <v>751</v>
      </c>
      <c r="N495" s="239" t="s">
        <v>752</v>
      </c>
      <c r="O495" s="205" t="s">
        <v>3425</v>
      </c>
    </row>
    <row r="496" spans="1:15" s="45" customFormat="1" x14ac:dyDescent="0.25">
      <c r="A496" s="87" t="s">
        <v>564</v>
      </c>
      <c r="B496" s="237" t="s">
        <v>117</v>
      </c>
      <c r="C496" s="252" t="s">
        <v>16</v>
      </c>
      <c r="D496" s="41">
        <v>51.895833330000002</v>
      </c>
      <c r="E496" s="41">
        <v>11.04666667</v>
      </c>
      <c r="F496" s="116">
        <f t="shared" si="17"/>
        <v>5106</v>
      </c>
      <c r="G496" s="17">
        <v>5210</v>
      </c>
      <c r="H496" s="112">
        <v>5002</v>
      </c>
      <c r="I496" s="97" t="s">
        <v>119</v>
      </c>
      <c r="J496" s="40" t="s">
        <v>84</v>
      </c>
      <c r="K496" s="417" t="s">
        <v>21</v>
      </c>
      <c r="L496" s="17" t="s">
        <v>14</v>
      </c>
      <c r="M496" s="108" t="s">
        <v>764</v>
      </c>
      <c r="N496" s="230" t="s">
        <v>765</v>
      </c>
      <c r="O496" s="205" t="s">
        <v>3424</v>
      </c>
    </row>
    <row r="497" spans="1:15" s="45" customFormat="1" x14ac:dyDescent="0.25">
      <c r="A497" s="87" t="s">
        <v>564</v>
      </c>
      <c r="B497" s="237" t="s">
        <v>117</v>
      </c>
      <c r="C497" s="252" t="s">
        <v>16</v>
      </c>
      <c r="D497" s="41">
        <v>51.895833330000002</v>
      </c>
      <c r="E497" s="41">
        <v>11.04666667</v>
      </c>
      <c r="F497" s="116">
        <f t="shared" si="17"/>
        <v>5102</v>
      </c>
      <c r="G497" s="17">
        <v>5212</v>
      </c>
      <c r="H497" s="112">
        <v>4992</v>
      </c>
      <c r="I497" s="97" t="s">
        <v>128</v>
      </c>
      <c r="J497" s="40"/>
      <c r="K497" s="417" t="s">
        <v>21</v>
      </c>
      <c r="L497" s="17" t="s">
        <v>2</v>
      </c>
      <c r="M497" s="108" t="s">
        <v>767</v>
      </c>
      <c r="N497" s="230" t="s">
        <v>768</v>
      </c>
      <c r="O497" s="205" t="s">
        <v>3428</v>
      </c>
    </row>
    <row r="498" spans="1:15" s="45" customFormat="1" x14ac:dyDescent="0.25">
      <c r="A498" s="87" t="s">
        <v>3263</v>
      </c>
      <c r="B498" s="237" t="s">
        <v>117</v>
      </c>
      <c r="C498" s="252" t="s">
        <v>16</v>
      </c>
      <c r="D498" s="41">
        <v>51.895833330000002</v>
      </c>
      <c r="E498" s="41">
        <v>11.04666667</v>
      </c>
      <c r="F498" s="116">
        <f t="shared" si="17"/>
        <v>5028</v>
      </c>
      <c r="G498" s="17">
        <v>5199</v>
      </c>
      <c r="H498" s="112">
        <v>4857</v>
      </c>
      <c r="I498" s="97" t="s">
        <v>742</v>
      </c>
      <c r="J498" s="40" t="s">
        <v>769</v>
      </c>
      <c r="K498" s="417" t="s">
        <v>21</v>
      </c>
      <c r="L498" s="17" t="s">
        <v>14</v>
      </c>
      <c r="M498" s="108" t="s">
        <v>770</v>
      </c>
      <c r="N498" s="230" t="s">
        <v>771</v>
      </c>
      <c r="O498" s="205" t="s">
        <v>3427</v>
      </c>
    </row>
    <row r="499" spans="1:15" s="45" customFormat="1" x14ac:dyDescent="0.25">
      <c r="A499" s="87" t="s">
        <v>3266</v>
      </c>
      <c r="B499" s="237" t="s">
        <v>15</v>
      </c>
      <c r="C499" s="252" t="s">
        <v>16</v>
      </c>
      <c r="D499" s="41">
        <v>51.273000000000003</v>
      </c>
      <c r="E499" s="41">
        <v>11.655900000000001</v>
      </c>
      <c r="F499" s="116">
        <f t="shared" si="17"/>
        <v>5007.5</v>
      </c>
      <c r="G499" s="321">
        <v>5056</v>
      </c>
      <c r="H499" s="321">
        <v>4959</v>
      </c>
      <c r="I499" s="97" t="s">
        <v>409</v>
      </c>
      <c r="J499" s="40" t="s">
        <v>69</v>
      </c>
      <c r="K499" s="417" t="s">
        <v>21</v>
      </c>
      <c r="L499" s="17" t="s">
        <v>14</v>
      </c>
      <c r="M499" s="597" t="s">
        <v>3268</v>
      </c>
      <c r="N499" s="230" t="s">
        <v>3270</v>
      </c>
      <c r="O499" s="205" t="s">
        <v>3269</v>
      </c>
    </row>
    <row r="500" spans="1:15" x14ac:dyDescent="0.25">
      <c r="A500" s="107" t="s">
        <v>4011</v>
      </c>
      <c r="B500" s="237" t="s">
        <v>2326</v>
      </c>
      <c r="C500" s="252" t="s">
        <v>16</v>
      </c>
      <c r="D500" s="41">
        <v>49.355272100000001</v>
      </c>
      <c r="E500" s="41">
        <v>6.7243196999999997</v>
      </c>
      <c r="F500" s="116">
        <f t="shared" si="17"/>
        <v>5250</v>
      </c>
      <c r="G500" s="197">
        <v>5500</v>
      </c>
      <c r="H500" s="115">
        <v>5000</v>
      </c>
      <c r="I500" s="97" t="s">
        <v>38</v>
      </c>
      <c r="J500" s="40" t="s">
        <v>69</v>
      </c>
      <c r="K500" s="417" t="s">
        <v>21</v>
      </c>
      <c r="L500" s="17" t="s">
        <v>14</v>
      </c>
      <c r="M500" s="108" t="s">
        <v>2327</v>
      </c>
    </row>
    <row r="501" spans="1:15" x14ac:dyDescent="0.25">
      <c r="A501" s="107" t="s">
        <v>4092</v>
      </c>
      <c r="B501" s="237" t="s">
        <v>2326</v>
      </c>
      <c r="C501" s="252" t="s">
        <v>16</v>
      </c>
      <c r="D501" s="41">
        <v>49.355272100000001</v>
      </c>
      <c r="E501" s="41">
        <v>6.7243196999999997</v>
      </c>
      <c r="F501" s="116">
        <f t="shared" si="17"/>
        <v>5250</v>
      </c>
      <c r="G501" s="197">
        <v>5500</v>
      </c>
      <c r="H501" s="115">
        <v>5000</v>
      </c>
      <c r="I501" s="97" t="s">
        <v>409</v>
      </c>
      <c r="J501" s="40" t="s">
        <v>930</v>
      </c>
      <c r="K501" s="417" t="s">
        <v>21</v>
      </c>
      <c r="L501" s="17" t="s">
        <v>14</v>
      </c>
      <c r="M501" s="108" t="s">
        <v>2358</v>
      </c>
    </row>
    <row r="502" spans="1:15" ht="15.75" thickBot="1" x14ac:dyDescent="0.3">
      <c r="A502" s="107" t="s">
        <v>4011</v>
      </c>
      <c r="B502" s="237" t="s">
        <v>2374</v>
      </c>
      <c r="C502" s="252" t="s">
        <v>16</v>
      </c>
      <c r="D502" s="41">
        <v>49.146345599999997</v>
      </c>
      <c r="E502" s="41">
        <v>8.2156228000000002</v>
      </c>
      <c r="F502" s="116">
        <f t="shared" si="17"/>
        <v>5000</v>
      </c>
      <c r="G502" s="197">
        <v>5200</v>
      </c>
      <c r="H502" s="115">
        <v>4800</v>
      </c>
      <c r="I502" s="111" t="s">
        <v>614</v>
      </c>
      <c r="J502" s="40" t="s">
        <v>69</v>
      </c>
      <c r="K502" s="417" t="s">
        <v>21</v>
      </c>
      <c r="L502" s="17" t="s">
        <v>14</v>
      </c>
      <c r="M502" s="87" t="s">
        <v>2330</v>
      </c>
      <c r="N502" s="230" t="s">
        <v>4097</v>
      </c>
      <c r="O502" s="205" t="s">
        <v>4100</v>
      </c>
    </row>
    <row r="503" spans="1:15" ht="15.75" thickBot="1" x14ac:dyDescent="0.3">
      <c r="A503" s="107" t="s">
        <v>4011</v>
      </c>
      <c r="B503" s="237" t="s">
        <v>2374</v>
      </c>
      <c r="C503" s="252" t="s">
        <v>16</v>
      </c>
      <c r="D503" s="41">
        <v>49.146345599999997</v>
      </c>
      <c r="E503" s="41">
        <v>8.2156228000000002</v>
      </c>
      <c r="F503" s="116">
        <f t="shared" si="17"/>
        <v>5000</v>
      </c>
      <c r="G503" s="197">
        <v>5200</v>
      </c>
      <c r="H503" s="115">
        <v>4800</v>
      </c>
      <c r="I503" s="175" t="s">
        <v>6</v>
      </c>
      <c r="J503" s="40" t="s">
        <v>69</v>
      </c>
      <c r="K503" s="417" t="s">
        <v>21</v>
      </c>
      <c r="L503" s="17" t="s">
        <v>14</v>
      </c>
      <c r="M503" s="87" t="s">
        <v>2333</v>
      </c>
      <c r="N503" s="230" t="s">
        <v>4099</v>
      </c>
      <c r="O503" s="205" t="s">
        <v>4100</v>
      </c>
    </row>
    <row r="504" spans="1:15" ht="15.75" thickBot="1" x14ac:dyDescent="0.3">
      <c r="A504" s="107" t="s">
        <v>4011</v>
      </c>
      <c r="B504" s="237" t="s">
        <v>2374</v>
      </c>
      <c r="C504" s="252" t="s">
        <v>16</v>
      </c>
      <c r="D504" s="41">
        <v>49.146345599999997</v>
      </c>
      <c r="E504" s="41">
        <v>8.2156228000000002</v>
      </c>
      <c r="F504" s="116">
        <f t="shared" si="17"/>
        <v>5000</v>
      </c>
      <c r="G504" s="197">
        <v>5200</v>
      </c>
      <c r="H504" s="115">
        <v>4800</v>
      </c>
      <c r="I504" s="175" t="s">
        <v>789</v>
      </c>
      <c r="J504" s="40" t="s">
        <v>69</v>
      </c>
      <c r="K504" s="417" t="s">
        <v>21</v>
      </c>
      <c r="L504" s="17" t="s">
        <v>14</v>
      </c>
      <c r="M504" s="87" t="s">
        <v>2334</v>
      </c>
      <c r="N504" s="230" t="s">
        <v>4102</v>
      </c>
      <c r="O504" s="205" t="s">
        <v>4100</v>
      </c>
    </row>
    <row r="505" spans="1:15" ht="15.75" thickBot="1" x14ac:dyDescent="0.3">
      <c r="A505" s="107" t="s">
        <v>4092</v>
      </c>
      <c r="B505" s="237" t="s">
        <v>2374</v>
      </c>
      <c r="C505" s="252" t="s">
        <v>16</v>
      </c>
      <c r="D505" s="41">
        <v>49.146345599999997</v>
      </c>
      <c r="E505" s="41">
        <v>8.2156228000000002</v>
      </c>
      <c r="F505" s="116">
        <v>5078</v>
      </c>
      <c r="G505" s="115">
        <f>F505+85</f>
        <v>5163</v>
      </c>
      <c r="H505" s="115">
        <f>F505-85</f>
        <v>4993</v>
      </c>
      <c r="I505" s="175" t="s">
        <v>2335</v>
      </c>
      <c r="J505" s="40" t="s">
        <v>69</v>
      </c>
      <c r="K505" s="417" t="s">
        <v>21</v>
      </c>
      <c r="L505" s="17" t="s">
        <v>14</v>
      </c>
      <c r="M505" s="87" t="s">
        <v>2336</v>
      </c>
      <c r="N505" s="230" t="s">
        <v>2373</v>
      </c>
      <c r="O505" s="205" t="s">
        <v>4096</v>
      </c>
    </row>
    <row r="506" spans="1:15" ht="15.75" thickBot="1" x14ac:dyDescent="0.3">
      <c r="A506" s="107" t="s">
        <v>4011</v>
      </c>
      <c r="B506" s="237" t="s">
        <v>2374</v>
      </c>
      <c r="C506" s="252" t="s">
        <v>16</v>
      </c>
      <c r="D506" s="41">
        <v>49.146345599999997</v>
      </c>
      <c r="E506" s="41">
        <v>8.2156228000000002</v>
      </c>
      <c r="F506" s="116">
        <f t="shared" ref="F506:F537" si="18">AVERAGE(G506:H506)</f>
        <v>5000</v>
      </c>
      <c r="G506" s="197">
        <v>5200</v>
      </c>
      <c r="H506" s="115">
        <v>4800</v>
      </c>
      <c r="I506" s="174" t="s">
        <v>2338</v>
      </c>
      <c r="J506" s="40" t="s">
        <v>69</v>
      </c>
      <c r="K506" s="417" t="s">
        <v>21</v>
      </c>
      <c r="L506" s="17" t="s">
        <v>2</v>
      </c>
      <c r="M506" s="87" t="s">
        <v>2337</v>
      </c>
      <c r="N506" s="230" t="s">
        <v>4104</v>
      </c>
      <c r="O506" s="205" t="s">
        <v>4100</v>
      </c>
    </row>
    <row r="507" spans="1:15" x14ac:dyDescent="0.25">
      <c r="A507" s="107" t="s">
        <v>4011</v>
      </c>
      <c r="B507" s="237" t="s">
        <v>2374</v>
      </c>
      <c r="C507" s="252" t="s">
        <v>16</v>
      </c>
      <c r="D507" s="41">
        <v>49.146345599999997</v>
      </c>
      <c r="E507" s="41">
        <v>8.2156228000000002</v>
      </c>
      <c r="F507" s="116">
        <f t="shared" si="18"/>
        <v>5000</v>
      </c>
      <c r="G507" s="197">
        <v>5200</v>
      </c>
      <c r="H507" s="115">
        <v>4800</v>
      </c>
      <c r="I507" s="97" t="s">
        <v>58</v>
      </c>
      <c r="J507" s="40" t="s">
        <v>69</v>
      </c>
      <c r="K507" s="417" t="s">
        <v>21</v>
      </c>
      <c r="L507" s="17" t="s">
        <v>2</v>
      </c>
      <c r="M507" s="87" t="s">
        <v>2353</v>
      </c>
      <c r="N507" s="230" t="s">
        <v>4103</v>
      </c>
      <c r="O507" s="205" t="s">
        <v>4100</v>
      </c>
    </row>
    <row r="508" spans="1:15" x14ac:dyDescent="0.25">
      <c r="A508" s="107" t="s">
        <v>4011</v>
      </c>
      <c r="B508" s="237" t="s">
        <v>2374</v>
      </c>
      <c r="C508" s="252" t="s">
        <v>16</v>
      </c>
      <c r="D508" s="41">
        <v>49.146345599999997</v>
      </c>
      <c r="E508" s="41">
        <v>8.2156228000000002</v>
      </c>
      <c r="F508" s="116">
        <f t="shared" si="18"/>
        <v>5000</v>
      </c>
      <c r="G508" s="115">
        <v>5200</v>
      </c>
      <c r="H508" s="115">
        <v>4800</v>
      </c>
      <c r="I508" s="97" t="s">
        <v>437</v>
      </c>
      <c r="J508" s="40" t="s">
        <v>69</v>
      </c>
      <c r="K508" s="417" t="s">
        <v>21</v>
      </c>
      <c r="L508" s="17" t="s">
        <v>2</v>
      </c>
      <c r="M508" s="87" t="s">
        <v>2354</v>
      </c>
      <c r="N508" s="230" t="s">
        <v>4098</v>
      </c>
      <c r="O508" s="205" t="s">
        <v>4100</v>
      </c>
    </row>
    <row r="509" spans="1:15" x14ac:dyDescent="0.25">
      <c r="A509" s="107" t="s">
        <v>4011</v>
      </c>
      <c r="B509" s="237" t="s">
        <v>2374</v>
      </c>
      <c r="C509" s="252" t="s">
        <v>16</v>
      </c>
      <c r="D509" s="41">
        <v>49.146345599999997</v>
      </c>
      <c r="E509" s="41">
        <v>8.2156228000000002</v>
      </c>
      <c r="F509" s="116">
        <f t="shared" si="18"/>
        <v>5000</v>
      </c>
      <c r="G509" s="115">
        <v>5200</v>
      </c>
      <c r="H509" s="115">
        <v>4800</v>
      </c>
      <c r="I509" s="97" t="s">
        <v>2356</v>
      </c>
      <c r="J509" s="40" t="s">
        <v>69</v>
      </c>
      <c r="K509" s="417" t="s">
        <v>21</v>
      </c>
      <c r="L509" s="17" t="s">
        <v>14</v>
      </c>
      <c r="M509" s="87" t="s">
        <v>2355</v>
      </c>
      <c r="N509" s="230" t="s">
        <v>4101</v>
      </c>
      <c r="O509" s="205" t="s">
        <v>4100</v>
      </c>
    </row>
    <row r="510" spans="1:15" x14ac:dyDescent="0.25">
      <c r="A510" s="107" t="s">
        <v>4011</v>
      </c>
      <c r="B510" s="237" t="s">
        <v>2374</v>
      </c>
      <c r="C510" s="252" t="s">
        <v>16</v>
      </c>
      <c r="D510" s="41">
        <v>49.146345599999997</v>
      </c>
      <c r="E510" s="41">
        <v>8.2156228000000002</v>
      </c>
      <c r="F510" s="116">
        <f t="shared" si="18"/>
        <v>5000</v>
      </c>
      <c r="G510" s="115">
        <v>5200</v>
      </c>
      <c r="H510" s="115">
        <v>4800</v>
      </c>
      <c r="I510" s="97" t="s">
        <v>273</v>
      </c>
      <c r="J510" s="40" t="s">
        <v>69</v>
      </c>
      <c r="K510" s="417" t="s">
        <v>21</v>
      </c>
      <c r="L510" s="17" t="s">
        <v>2</v>
      </c>
      <c r="M510" s="108">
        <v>7034</v>
      </c>
      <c r="N510" s="230" t="s">
        <v>4105</v>
      </c>
      <c r="O510" s="205" t="s">
        <v>4106</v>
      </c>
    </row>
    <row r="511" spans="1:15" x14ac:dyDescent="0.25">
      <c r="A511" s="107" t="s">
        <v>4092</v>
      </c>
      <c r="B511" s="205" t="s">
        <v>2359</v>
      </c>
      <c r="C511" s="252" t="s">
        <v>16</v>
      </c>
      <c r="D511" s="17">
        <v>48.639252599999999</v>
      </c>
      <c r="E511" s="17">
        <v>12.268433699999999</v>
      </c>
      <c r="F511" s="116">
        <f t="shared" si="18"/>
        <v>5250</v>
      </c>
      <c r="G511" s="112">
        <v>5500</v>
      </c>
      <c r="H511" s="112">
        <v>5000</v>
      </c>
      <c r="I511" s="97" t="s">
        <v>1480</v>
      </c>
      <c r="J511" s="40" t="s">
        <v>2361</v>
      </c>
      <c r="K511" s="220" t="s">
        <v>21</v>
      </c>
      <c r="L511" s="17" t="s">
        <v>14</v>
      </c>
      <c r="M511" s="108" t="s">
        <v>2360</v>
      </c>
      <c r="O511" s="205"/>
    </row>
    <row r="512" spans="1:15" ht="15.75" thickBot="1" x14ac:dyDescent="0.3">
      <c r="A512" s="107" t="s">
        <v>916</v>
      </c>
      <c r="B512" s="208" t="s">
        <v>929</v>
      </c>
      <c r="C512" s="252" t="s">
        <v>16</v>
      </c>
      <c r="D512" s="41">
        <v>49.39</v>
      </c>
      <c r="E512" s="41">
        <v>8.57</v>
      </c>
      <c r="F512" s="116">
        <f t="shared" si="18"/>
        <v>5170</v>
      </c>
      <c r="G512" s="27">
        <v>5300</v>
      </c>
      <c r="H512" s="113">
        <v>5040</v>
      </c>
      <c r="I512" s="97" t="s">
        <v>829</v>
      </c>
      <c r="J512" s="40" t="s">
        <v>930</v>
      </c>
      <c r="K512" s="330" t="s">
        <v>3106</v>
      </c>
      <c r="L512" s="17" t="s">
        <v>14</v>
      </c>
      <c r="M512" s="108" t="s">
        <v>927</v>
      </c>
      <c r="N512" s="230" t="s">
        <v>928</v>
      </c>
      <c r="O512" s="206" t="s">
        <v>972</v>
      </c>
    </row>
    <row r="513" spans="1:15" ht="15.75" thickBot="1" x14ac:dyDescent="0.3">
      <c r="A513" s="107" t="s">
        <v>916</v>
      </c>
      <c r="B513" s="208" t="s">
        <v>929</v>
      </c>
      <c r="C513" s="252" t="s">
        <v>16</v>
      </c>
      <c r="D513" s="41">
        <v>49.39</v>
      </c>
      <c r="E513" s="41">
        <v>8.57</v>
      </c>
      <c r="F513" s="116">
        <f t="shared" si="18"/>
        <v>5100</v>
      </c>
      <c r="G513" s="27">
        <v>5220</v>
      </c>
      <c r="H513" s="113">
        <v>4980</v>
      </c>
      <c r="I513" s="174" t="s">
        <v>6</v>
      </c>
      <c r="J513" s="40" t="s">
        <v>468</v>
      </c>
      <c r="K513" s="330" t="s">
        <v>3106</v>
      </c>
      <c r="L513" s="17" t="s">
        <v>941</v>
      </c>
      <c r="M513" s="108" t="s">
        <v>943</v>
      </c>
      <c r="N513" s="230" t="s">
        <v>944</v>
      </c>
      <c r="O513" s="206" t="s">
        <v>972</v>
      </c>
    </row>
    <row r="514" spans="1:15" x14ac:dyDescent="0.25">
      <c r="A514" s="107" t="s">
        <v>916</v>
      </c>
      <c r="B514" s="208" t="s">
        <v>929</v>
      </c>
      <c r="C514" s="252" t="s">
        <v>16</v>
      </c>
      <c r="D514" s="41">
        <v>49.39</v>
      </c>
      <c r="E514" s="41">
        <v>8.57</v>
      </c>
      <c r="F514" s="116">
        <f t="shared" si="18"/>
        <v>5055</v>
      </c>
      <c r="G514" s="27">
        <f>(G513+H513)/2</f>
        <v>5100</v>
      </c>
      <c r="H514" s="113">
        <f>(H512+H513)/2</f>
        <v>5010</v>
      </c>
      <c r="I514" s="211" t="s">
        <v>956</v>
      </c>
      <c r="J514" s="398" t="s">
        <v>69</v>
      </c>
      <c r="K514" s="330" t="s">
        <v>3106</v>
      </c>
      <c r="L514" s="14" t="s">
        <v>2</v>
      </c>
      <c r="M514" s="87" t="s">
        <v>3089</v>
      </c>
      <c r="N514" s="209" t="s">
        <v>3097</v>
      </c>
      <c r="O514" s="205" t="s">
        <v>3105</v>
      </c>
    </row>
    <row r="515" spans="1:15" x14ac:dyDescent="0.25">
      <c r="A515" s="107" t="s">
        <v>916</v>
      </c>
      <c r="B515" s="208" t="s">
        <v>929</v>
      </c>
      <c r="C515" s="252" t="s">
        <v>16</v>
      </c>
      <c r="D515" s="41">
        <v>49.39</v>
      </c>
      <c r="E515" s="41">
        <v>8.57</v>
      </c>
      <c r="F515" s="116">
        <f t="shared" si="18"/>
        <v>5055</v>
      </c>
      <c r="G515" s="27">
        <v>5100</v>
      </c>
      <c r="H515" s="113">
        <v>5010</v>
      </c>
      <c r="I515" s="211" t="s">
        <v>128</v>
      </c>
      <c r="J515" s="398" t="s">
        <v>863</v>
      </c>
      <c r="K515" s="330" t="s">
        <v>3106</v>
      </c>
      <c r="L515" s="14" t="s">
        <v>14</v>
      </c>
      <c r="M515" s="87" t="s">
        <v>3090</v>
      </c>
      <c r="N515" s="209" t="s">
        <v>3098</v>
      </c>
      <c r="O515" s="205" t="s">
        <v>3105</v>
      </c>
    </row>
    <row r="516" spans="1:15" x14ac:dyDescent="0.25">
      <c r="A516" s="107" t="s">
        <v>916</v>
      </c>
      <c r="B516" s="208" t="s">
        <v>929</v>
      </c>
      <c r="C516" s="252" t="s">
        <v>16</v>
      </c>
      <c r="D516" s="41">
        <v>49.39</v>
      </c>
      <c r="E516" s="41">
        <v>8.57</v>
      </c>
      <c r="F516" s="116">
        <f t="shared" si="18"/>
        <v>5055</v>
      </c>
      <c r="G516" s="27">
        <v>5100</v>
      </c>
      <c r="H516" s="113">
        <v>5010</v>
      </c>
      <c r="I516" s="211" t="s">
        <v>105</v>
      </c>
      <c r="J516" s="398" t="s">
        <v>69</v>
      </c>
      <c r="K516" s="330" t="s">
        <v>3106</v>
      </c>
      <c r="L516" s="14" t="s">
        <v>2</v>
      </c>
      <c r="M516" s="87" t="s">
        <v>3091</v>
      </c>
      <c r="N516" s="209" t="s">
        <v>3099</v>
      </c>
      <c r="O516" s="205" t="s">
        <v>3105</v>
      </c>
    </row>
    <row r="517" spans="1:15" x14ac:dyDescent="0.25">
      <c r="A517" s="107" t="s">
        <v>916</v>
      </c>
      <c r="B517" s="208" t="s">
        <v>929</v>
      </c>
      <c r="C517" s="252" t="s">
        <v>16</v>
      </c>
      <c r="D517" s="41">
        <v>49.39</v>
      </c>
      <c r="E517" s="41">
        <v>8.57</v>
      </c>
      <c r="F517" s="116">
        <f t="shared" si="18"/>
        <v>5055</v>
      </c>
      <c r="G517" s="27">
        <v>5100</v>
      </c>
      <c r="H517" s="113">
        <v>5010</v>
      </c>
      <c r="I517" s="211" t="s">
        <v>956</v>
      </c>
      <c r="J517" s="398" t="s">
        <v>69</v>
      </c>
      <c r="K517" s="330" t="s">
        <v>3106</v>
      </c>
      <c r="L517" s="14" t="s">
        <v>2</v>
      </c>
      <c r="M517" s="87" t="s">
        <v>3092</v>
      </c>
      <c r="N517" s="209" t="s">
        <v>3100</v>
      </c>
      <c r="O517" s="205" t="s">
        <v>3105</v>
      </c>
    </row>
    <row r="518" spans="1:15" x14ac:dyDescent="0.25">
      <c r="A518" s="107" t="s">
        <v>916</v>
      </c>
      <c r="B518" s="208" t="s">
        <v>929</v>
      </c>
      <c r="C518" s="252" t="s">
        <v>16</v>
      </c>
      <c r="D518" s="41">
        <v>49.39</v>
      </c>
      <c r="E518" s="41">
        <v>8.57</v>
      </c>
      <c r="F518" s="116">
        <f t="shared" si="18"/>
        <v>5055</v>
      </c>
      <c r="G518" s="27">
        <v>5100</v>
      </c>
      <c r="H518" s="113">
        <v>5010</v>
      </c>
      <c r="I518" s="211" t="s">
        <v>956</v>
      </c>
      <c r="J518" s="398" t="s">
        <v>69</v>
      </c>
      <c r="K518" s="330" t="s">
        <v>3106</v>
      </c>
      <c r="L518" s="14" t="s">
        <v>2</v>
      </c>
      <c r="M518" s="87" t="s">
        <v>3093</v>
      </c>
      <c r="N518" s="209" t="s">
        <v>3101</v>
      </c>
      <c r="O518" s="205" t="s">
        <v>3105</v>
      </c>
    </row>
    <row r="519" spans="1:15" x14ac:dyDescent="0.25">
      <c r="A519" s="107" t="s">
        <v>916</v>
      </c>
      <c r="B519" s="208" t="s">
        <v>929</v>
      </c>
      <c r="C519" s="252" t="s">
        <v>16</v>
      </c>
      <c r="D519" s="41">
        <v>49.39</v>
      </c>
      <c r="E519" s="41">
        <v>8.57</v>
      </c>
      <c r="F519" s="116">
        <f t="shared" si="18"/>
        <v>5055</v>
      </c>
      <c r="G519" s="27">
        <v>5100</v>
      </c>
      <c r="H519" s="113">
        <v>5010</v>
      </c>
      <c r="I519" s="211" t="s">
        <v>956</v>
      </c>
      <c r="J519" s="398" t="s">
        <v>863</v>
      </c>
      <c r="K519" s="330" t="s">
        <v>3106</v>
      </c>
      <c r="L519" s="14" t="s">
        <v>14</v>
      </c>
      <c r="M519" s="87" t="s">
        <v>3094</v>
      </c>
      <c r="N519" s="209" t="s">
        <v>3102</v>
      </c>
      <c r="O519" s="205" t="s">
        <v>3105</v>
      </c>
    </row>
    <row r="520" spans="1:15" x14ac:dyDescent="0.25">
      <c r="A520" s="107" t="s">
        <v>916</v>
      </c>
      <c r="B520" s="208" t="s">
        <v>929</v>
      </c>
      <c r="C520" s="252" t="s">
        <v>16</v>
      </c>
      <c r="D520" s="41">
        <v>49.39</v>
      </c>
      <c r="E520" s="41">
        <v>8.57</v>
      </c>
      <c r="F520" s="116">
        <f t="shared" si="18"/>
        <v>5055</v>
      </c>
      <c r="G520" s="27">
        <v>5100</v>
      </c>
      <c r="H520" s="113">
        <v>5010</v>
      </c>
      <c r="I520" s="211" t="s">
        <v>109</v>
      </c>
      <c r="J520" s="398" t="s">
        <v>69</v>
      </c>
      <c r="K520" s="330" t="s">
        <v>3106</v>
      </c>
      <c r="L520" s="14" t="s">
        <v>2</v>
      </c>
      <c r="M520" s="87" t="s">
        <v>3095</v>
      </c>
      <c r="N520" s="209" t="s">
        <v>3103</v>
      </c>
      <c r="O520" s="205" t="s">
        <v>3105</v>
      </c>
    </row>
    <row r="521" spans="1:15" x14ac:dyDescent="0.25">
      <c r="A521" s="107" t="s">
        <v>916</v>
      </c>
      <c r="B521" s="208" t="s">
        <v>929</v>
      </c>
      <c r="C521" s="252" t="s">
        <v>16</v>
      </c>
      <c r="D521" s="41">
        <v>49.39</v>
      </c>
      <c r="E521" s="41">
        <v>8.57</v>
      </c>
      <c r="F521" s="116">
        <f t="shared" si="18"/>
        <v>5055</v>
      </c>
      <c r="G521" s="27">
        <v>5100</v>
      </c>
      <c r="H521" s="113">
        <v>5010</v>
      </c>
      <c r="I521" s="211" t="s">
        <v>956</v>
      </c>
      <c r="J521" s="398" t="s">
        <v>69</v>
      </c>
      <c r="K521" s="330" t="s">
        <v>3106</v>
      </c>
      <c r="L521" s="14" t="s">
        <v>2</v>
      </c>
      <c r="M521" s="87" t="s">
        <v>3096</v>
      </c>
      <c r="N521" s="209" t="s">
        <v>3104</v>
      </c>
      <c r="O521" s="205" t="s">
        <v>3105</v>
      </c>
    </row>
    <row r="522" spans="1:15" x14ac:dyDescent="0.25">
      <c r="A522" s="107" t="s">
        <v>916</v>
      </c>
      <c r="B522" s="238" t="s">
        <v>924</v>
      </c>
      <c r="C522" s="252" t="s">
        <v>16</v>
      </c>
      <c r="D522" s="41">
        <v>48.78</v>
      </c>
      <c r="E522" s="41">
        <v>9.18</v>
      </c>
      <c r="F522" s="116">
        <f t="shared" si="18"/>
        <v>5194.5</v>
      </c>
      <c r="G522" s="27">
        <v>5310</v>
      </c>
      <c r="H522" s="112">
        <v>5079</v>
      </c>
      <c r="I522" s="97" t="s">
        <v>18</v>
      </c>
      <c r="J522" s="40" t="s">
        <v>264</v>
      </c>
      <c r="K522" s="330" t="s">
        <v>3107</v>
      </c>
      <c r="L522" s="17" t="s">
        <v>14</v>
      </c>
      <c r="M522" s="108" t="s">
        <v>923</v>
      </c>
    </row>
    <row r="523" spans="1:15" ht="15.75" thickBot="1" x14ac:dyDescent="0.3">
      <c r="A523" s="107" t="s">
        <v>916</v>
      </c>
      <c r="B523" s="238" t="s">
        <v>924</v>
      </c>
      <c r="C523" s="252" t="s">
        <v>16</v>
      </c>
      <c r="D523" s="41">
        <v>48.78</v>
      </c>
      <c r="E523" s="41">
        <v>9.18</v>
      </c>
      <c r="F523" s="116">
        <f t="shared" si="18"/>
        <v>5189.5</v>
      </c>
      <c r="G523" s="27">
        <v>5302</v>
      </c>
      <c r="H523" s="112">
        <v>5077</v>
      </c>
      <c r="I523" s="97" t="s">
        <v>132</v>
      </c>
      <c r="J523" s="40" t="s">
        <v>69</v>
      </c>
      <c r="K523" s="330" t="s">
        <v>3107</v>
      </c>
      <c r="L523" s="17" t="s">
        <v>2</v>
      </c>
      <c r="M523" s="108" t="s">
        <v>925</v>
      </c>
    </row>
    <row r="524" spans="1:15" ht="15.75" thickBot="1" x14ac:dyDescent="0.3">
      <c r="A524" s="107" t="s">
        <v>916</v>
      </c>
      <c r="B524" s="238" t="s">
        <v>924</v>
      </c>
      <c r="C524" s="252" t="s">
        <v>16</v>
      </c>
      <c r="D524" s="41">
        <v>48.78</v>
      </c>
      <c r="E524" s="41">
        <v>9.18</v>
      </c>
      <c r="F524" s="116">
        <f t="shared" si="18"/>
        <v>5175</v>
      </c>
      <c r="G524" s="27">
        <v>5301</v>
      </c>
      <c r="H524" s="112">
        <v>5049</v>
      </c>
      <c r="I524" s="174" t="s">
        <v>787</v>
      </c>
      <c r="J524" s="40" t="s">
        <v>69</v>
      </c>
      <c r="K524" s="330" t="s">
        <v>3107</v>
      </c>
      <c r="L524" s="17" t="s">
        <v>2</v>
      </c>
      <c r="M524" s="108" t="s">
        <v>926</v>
      </c>
    </row>
    <row r="525" spans="1:15" x14ac:dyDescent="0.25">
      <c r="A525" s="107" t="s">
        <v>916</v>
      </c>
      <c r="B525" s="238" t="s">
        <v>924</v>
      </c>
      <c r="C525" s="252" t="s">
        <v>16</v>
      </c>
      <c r="D525" s="41">
        <v>48.78</v>
      </c>
      <c r="E525" s="41">
        <v>9.18</v>
      </c>
      <c r="F525" s="116">
        <f t="shared" si="18"/>
        <v>5186</v>
      </c>
      <c r="G525" s="27">
        <v>5299</v>
      </c>
      <c r="H525" s="112">
        <v>5073</v>
      </c>
      <c r="I525" s="97" t="s">
        <v>68</v>
      </c>
      <c r="J525" s="40" t="s">
        <v>69</v>
      </c>
      <c r="K525" s="330" t="s">
        <v>3107</v>
      </c>
      <c r="L525" s="17" t="s">
        <v>2</v>
      </c>
      <c r="M525" s="108" t="s">
        <v>931</v>
      </c>
    </row>
    <row r="526" spans="1:15" x14ac:dyDescent="0.25">
      <c r="A526" s="107" t="s">
        <v>916</v>
      </c>
      <c r="B526" s="238" t="s">
        <v>924</v>
      </c>
      <c r="C526" s="252" t="s">
        <v>16</v>
      </c>
      <c r="D526" s="41">
        <v>48.78</v>
      </c>
      <c r="E526" s="41">
        <v>9.18</v>
      </c>
      <c r="F526" s="116">
        <f t="shared" si="18"/>
        <v>5183</v>
      </c>
      <c r="G526" s="27">
        <v>5296</v>
      </c>
      <c r="H526" s="112">
        <v>5070</v>
      </c>
      <c r="I526" s="97" t="s">
        <v>138</v>
      </c>
      <c r="J526" s="40" t="s">
        <v>69</v>
      </c>
      <c r="K526" s="330" t="s">
        <v>3107</v>
      </c>
      <c r="L526" s="17" t="s">
        <v>2</v>
      </c>
      <c r="M526" s="108" t="s">
        <v>932</v>
      </c>
    </row>
    <row r="527" spans="1:15" x14ac:dyDescent="0.25">
      <c r="A527" s="107" t="s">
        <v>916</v>
      </c>
      <c r="B527" s="238" t="s">
        <v>924</v>
      </c>
      <c r="C527" s="252" t="s">
        <v>16</v>
      </c>
      <c r="D527" s="41">
        <v>48.78</v>
      </c>
      <c r="E527" s="41">
        <v>9.18</v>
      </c>
      <c r="F527" s="116">
        <f t="shared" si="18"/>
        <v>5181</v>
      </c>
      <c r="G527" s="27">
        <v>5294</v>
      </c>
      <c r="H527" s="112">
        <v>5068</v>
      </c>
      <c r="I527" s="97" t="s">
        <v>871</v>
      </c>
      <c r="J527" s="40" t="s">
        <v>264</v>
      </c>
      <c r="K527" s="330" t="s">
        <v>3107</v>
      </c>
      <c r="L527" s="17" t="s">
        <v>14</v>
      </c>
      <c r="M527" s="108" t="s">
        <v>933</v>
      </c>
    </row>
    <row r="528" spans="1:15" x14ac:dyDescent="0.25">
      <c r="A528" s="107" t="s">
        <v>916</v>
      </c>
      <c r="B528" s="238" t="s">
        <v>924</v>
      </c>
      <c r="C528" s="252" t="s">
        <v>16</v>
      </c>
      <c r="D528" s="41">
        <v>48.78</v>
      </c>
      <c r="E528" s="41">
        <v>9.18</v>
      </c>
      <c r="F528" s="116">
        <f t="shared" si="18"/>
        <v>5179.5</v>
      </c>
      <c r="G528" s="27">
        <v>5293</v>
      </c>
      <c r="H528" s="112">
        <v>5066</v>
      </c>
      <c r="I528" s="97" t="s">
        <v>559</v>
      </c>
      <c r="J528" s="40" t="s">
        <v>264</v>
      </c>
      <c r="K528" s="330" t="s">
        <v>3107</v>
      </c>
      <c r="L528" s="17" t="s">
        <v>14</v>
      </c>
      <c r="M528" s="108" t="s">
        <v>934</v>
      </c>
    </row>
    <row r="529" spans="1:15" x14ac:dyDescent="0.25">
      <c r="A529" s="107" t="s">
        <v>916</v>
      </c>
      <c r="B529" s="238" t="s">
        <v>924</v>
      </c>
      <c r="C529" s="252" t="s">
        <v>16</v>
      </c>
      <c r="D529" s="41">
        <v>48.78</v>
      </c>
      <c r="E529" s="41">
        <v>9.18</v>
      </c>
      <c r="F529" s="116">
        <f t="shared" si="18"/>
        <v>5178</v>
      </c>
      <c r="G529" s="27">
        <v>5292</v>
      </c>
      <c r="H529" s="112">
        <v>5064</v>
      </c>
      <c r="I529" s="97" t="s">
        <v>18</v>
      </c>
      <c r="J529" s="40" t="s">
        <v>69</v>
      </c>
      <c r="K529" s="330" t="s">
        <v>3107</v>
      </c>
      <c r="L529" s="17" t="s">
        <v>2</v>
      </c>
      <c r="M529" s="108" t="s">
        <v>935</v>
      </c>
    </row>
    <row r="530" spans="1:15" x14ac:dyDescent="0.25">
      <c r="A530" s="107" t="s">
        <v>916</v>
      </c>
      <c r="B530" s="238" t="s">
        <v>924</v>
      </c>
      <c r="C530" s="252" t="s">
        <v>16</v>
      </c>
      <c r="D530" s="41">
        <v>48.78</v>
      </c>
      <c r="E530" s="41">
        <v>9.18</v>
      </c>
      <c r="F530" s="116">
        <f t="shared" si="18"/>
        <v>5177</v>
      </c>
      <c r="G530" s="27">
        <v>5291</v>
      </c>
      <c r="H530" s="112">
        <v>5063</v>
      </c>
      <c r="I530" s="97" t="s">
        <v>128</v>
      </c>
      <c r="J530" s="40" t="s">
        <v>264</v>
      </c>
      <c r="K530" s="330" t="s">
        <v>3107</v>
      </c>
      <c r="L530" s="17" t="s">
        <v>14</v>
      </c>
      <c r="M530" s="108" t="s">
        <v>936</v>
      </c>
    </row>
    <row r="531" spans="1:15" x14ac:dyDescent="0.25">
      <c r="A531" s="107" t="s">
        <v>916</v>
      </c>
      <c r="B531" s="238" t="s">
        <v>924</v>
      </c>
      <c r="C531" s="252" t="s">
        <v>16</v>
      </c>
      <c r="D531" s="41">
        <v>48.78</v>
      </c>
      <c r="E531" s="41">
        <v>9.18</v>
      </c>
      <c r="F531" s="116">
        <f t="shared" si="18"/>
        <v>5174</v>
      </c>
      <c r="G531" s="27">
        <v>5288</v>
      </c>
      <c r="H531" s="112">
        <v>5060</v>
      </c>
      <c r="I531" s="97" t="s">
        <v>742</v>
      </c>
      <c r="J531" s="40" t="s">
        <v>264</v>
      </c>
      <c r="K531" s="330" t="s">
        <v>3107</v>
      </c>
      <c r="L531" s="17" t="s">
        <v>14</v>
      </c>
      <c r="M531" s="108" t="s">
        <v>938</v>
      </c>
    </row>
    <row r="532" spans="1:15" ht="15.75" thickBot="1" x14ac:dyDescent="0.3">
      <c r="A532" s="107" t="s">
        <v>916</v>
      </c>
      <c r="B532" s="238" t="s">
        <v>924</v>
      </c>
      <c r="C532" s="252" t="s">
        <v>16</v>
      </c>
      <c r="D532" s="41">
        <v>48.78</v>
      </c>
      <c r="E532" s="41">
        <v>9.18</v>
      </c>
      <c r="F532" s="116">
        <f t="shared" si="18"/>
        <v>2823</v>
      </c>
      <c r="G532" s="27">
        <v>587</v>
      </c>
      <c r="H532" s="112">
        <v>5059</v>
      </c>
      <c r="I532" s="97" t="s">
        <v>559</v>
      </c>
      <c r="J532" s="40" t="s">
        <v>69</v>
      </c>
      <c r="K532" s="330" t="s">
        <v>3107</v>
      </c>
      <c r="L532" s="17" t="s">
        <v>2</v>
      </c>
      <c r="M532" s="108" t="s">
        <v>939</v>
      </c>
    </row>
    <row r="533" spans="1:15" ht="15.75" thickBot="1" x14ac:dyDescent="0.3">
      <c r="A533" s="107" t="s">
        <v>916</v>
      </c>
      <c r="B533" s="238" t="s">
        <v>924</v>
      </c>
      <c r="C533" s="252" t="s">
        <v>16</v>
      </c>
      <c r="D533" s="41">
        <v>48.78</v>
      </c>
      <c r="E533" s="41">
        <v>9.18</v>
      </c>
      <c r="F533" s="116">
        <f t="shared" si="18"/>
        <v>5169.5</v>
      </c>
      <c r="G533" s="27">
        <v>5285</v>
      </c>
      <c r="H533" s="112">
        <v>5054</v>
      </c>
      <c r="I533" s="174" t="s">
        <v>733</v>
      </c>
      <c r="J533" s="40" t="s">
        <v>2</v>
      </c>
      <c r="K533" s="330" t="s">
        <v>3107</v>
      </c>
      <c r="L533" s="17" t="s">
        <v>941</v>
      </c>
      <c r="M533" s="108" t="s">
        <v>940</v>
      </c>
    </row>
    <row r="534" spans="1:15" x14ac:dyDescent="0.25">
      <c r="A534" s="107" t="s">
        <v>916</v>
      </c>
      <c r="B534" s="238" t="s">
        <v>924</v>
      </c>
      <c r="C534" s="252" t="s">
        <v>16</v>
      </c>
      <c r="D534" s="41">
        <v>48.78</v>
      </c>
      <c r="E534" s="41">
        <v>9.18</v>
      </c>
      <c r="F534" s="116">
        <f t="shared" si="18"/>
        <v>5138</v>
      </c>
      <c r="G534" s="27">
        <v>5222</v>
      </c>
      <c r="H534" s="112">
        <v>5054</v>
      </c>
      <c r="I534" s="97" t="s">
        <v>884</v>
      </c>
      <c r="J534" s="40" t="s">
        <v>69</v>
      </c>
      <c r="K534" s="330" t="s">
        <v>3107</v>
      </c>
      <c r="L534" s="17" t="s">
        <v>2</v>
      </c>
      <c r="M534" s="108" t="s">
        <v>942</v>
      </c>
    </row>
    <row r="535" spans="1:15" x14ac:dyDescent="0.25">
      <c r="A535" s="107" t="s">
        <v>916</v>
      </c>
      <c r="B535" s="238" t="s">
        <v>924</v>
      </c>
      <c r="C535" s="252" t="s">
        <v>16</v>
      </c>
      <c r="D535" s="41">
        <v>48.78</v>
      </c>
      <c r="E535" s="41">
        <v>9.18</v>
      </c>
      <c r="F535" s="116">
        <f t="shared" si="18"/>
        <v>5119</v>
      </c>
      <c r="G535" s="27">
        <v>5216</v>
      </c>
      <c r="H535" s="112">
        <v>5022</v>
      </c>
      <c r="I535" s="97" t="s">
        <v>130</v>
      </c>
      <c r="J535" s="40" t="s">
        <v>264</v>
      </c>
      <c r="K535" s="330" t="s">
        <v>3107</v>
      </c>
      <c r="L535" s="17" t="s">
        <v>14</v>
      </c>
      <c r="M535" s="108" t="s">
        <v>945</v>
      </c>
    </row>
    <row r="536" spans="1:15" x14ac:dyDescent="0.25">
      <c r="A536" s="107" t="s">
        <v>916</v>
      </c>
      <c r="B536" s="238" t="s">
        <v>924</v>
      </c>
      <c r="C536" s="252" t="s">
        <v>16</v>
      </c>
      <c r="D536" s="41">
        <v>48.78</v>
      </c>
      <c r="E536" s="41">
        <v>9.18</v>
      </c>
      <c r="F536" s="116">
        <f t="shared" si="18"/>
        <v>5126.5</v>
      </c>
      <c r="G536" s="27">
        <v>5213</v>
      </c>
      <c r="H536" s="112">
        <v>5040</v>
      </c>
      <c r="I536" s="97" t="s">
        <v>130</v>
      </c>
      <c r="J536" s="40" t="s">
        <v>69</v>
      </c>
      <c r="K536" s="330" t="s">
        <v>3107</v>
      </c>
      <c r="L536" s="17" t="s">
        <v>2</v>
      </c>
      <c r="M536" s="108" t="s">
        <v>946</v>
      </c>
    </row>
    <row r="537" spans="1:15" x14ac:dyDescent="0.25">
      <c r="A537" s="107" t="s">
        <v>916</v>
      </c>
      <c r="B537" s="238" t="s">
        <v>924</v>
      </c>
      <c r="C537" s="252" t="s">
        <v>16</v>
      </c>
      <c r="D537" s="41">
        <v>48.78</v>
      </c>
      <c r="E537" s="41">
        <v>9.18</v>
      </c>
      <c r="F537" s="116">
        <f t="shared" si="18"/>
        <v>5096</v>
      </c>
      <c r="G537" s="27">
        <v>5207</v>
      </c>
      <c r="H537" s="112">
        <v>4985</v>
      </c>
      <c r="I537" s="97" t="s">
        <v>18</v>
      </c>
      <c r="J537" s="40" t="s">
        <v>264</v>
      </c>
      <c r="K537" s="330" t="s">
        <v>3107</v>
      </c>
      <c r="L537" s="17" t="s">
        <v>14</v>
      </c>
      <c r="M537" s="108" t="s">
        <v>953</v>
      </c>
    </row>
    <row r="538" spans="1:15" x14ac:dyDescent="0.25">
      <c r="A538" s="107" t="s">
        <v>916</v>
      </c>
      <c r="B538" s="238" t="s">
        <v>924</v>
      </c>
      <c r="C538" s="252" t="s">
        <v>16</v>
      </c>
      <c r="D538" s="41">
        <v>48.78</v>
      </c>
      <c r="E538" s="41">
        <v>9.18</v>
      </c>
      <c r="F538" s="116">
        <f t="shared" ref="F538:F560" si="19">AVERAGE(G538:H538)</f>
        <v>5078.5</v>
      </c>
      <c r="G538" s="27">
        <v>5206</v>
      </c>
      <c r="H538" s="112">
        <v>4951</v>
      </c>
      <c r="I538" s="97" t="s">
        <v>128</v>
      </c>
      <c r="J538" s="40" t="s">
        <v>2</v>
      </c>
      <c r="K538" s="330" t="s">
        <v>3107</v>
      </c>
      <c r="L538" s="17" t="s">
        <v>14</v>
      </c>
      <c r="M538" s="108" t="s">
        <v>957</v>
      </c>
    </row>
    <row r="539" spans="1:15" x14ac:dyDescent="0.25">
      <c r="A539" s="107" t="s">
        <v>916</v>
      </c>
      <c r="B539" s="238" t="s">
        <v>924</v>
      </c>
      <c r="C539" s="252" t="s">
        <v>16</v>
      </c>
      <c r="D539" s="41">
        <v>48.78</v>
      </c>
      <c r="E539" s="41">
        <v>9.18</v>
      </c>
      <c r="F539" s="116">
        <f t="shared" si="19"/>
        <v>4849</v>
      </c>
      <c r="G539" s="27">
        <v>4987</v>
      </c>
      <c r="H539" s="112">
        <v>4711</v>
      </c>
      <c r="I539" s="97" t="s">
        <v>122</v>
      </c>
      <c r="J539" s="40" t="s">
        <v>264</v>
      </c>
      <c r="K539" s="330" t="s">
        <v>3107</v>
      </c>
      <c r="L539" s="17" t="s">
        <v>14</v>
      </c>
      <c r="M539" s="108" t="s">
        <v>958</v>
      </c>
    </row>
    <row r="540" spans="1:15" ht="15.75" thickBot="1" x14ac:dyDescent="0.3">
      <c r="A540" s="107" t="s">
        <v>916</v>
      </c>
      <c r="B540" s="238" t="s">
        <v>921</v>
      </c>
      <c r="C540" s="252" t="s">
        <v>16</v>
      </c>
      <c r="D540" s="41">
        <v>48.78</v>
      </c>
      <c r="E540" s="41">
        <v>9.18</v>
      </c>
      <c r="F540" s="116">
        <f t="shared" si="19"/>
        <v>5263</v>
      </c>
      <c r="G540" s="27">
        <v>5317</v>
      </c>
      <c r="H540" s="112">
        <v>5209</v>
      </c>
      <c r="I540" s="97" t="s">
        <v>922</v>
      </c>
      <c r="J540" s="40" t="s">
        <v>468</v>
      </c>
      <c r="K540" s="330" t="s">
        <v>3107</v>
      </c>
      <c r="L540" s="17" t="s">
        <v>14</v>
      </c>
      <c r="M540" s="604" t="s">
        <v>920</v>
      </c>
      <c r="N540" s="646"/>
    </row>
    <row r="541" spans="1:15" ht="15.75" thickBot="1" x14ac:dyDescent="0.3">
      <c r="A541" s="107" t="s">
        <v>916</v>
      </c>
      <c r="B541" s="238" t="s">
        <v>921</v>
      </c>
      <c r="C541" s="252" t="s">
        <v>16</v>
      </c>
      <c r="D541" s="41">
        <v>48.78</v>
      </c>
      <c r="E541" s="41">
        <v>9.18</v>
      </c>
      <c r="F541" s="116">
        <f t="shared" si="19"/>
        <v>5173</v>
      </c>
      <c r="G541" s="27">
        <v>5290</v>
      </c>
      <c r="H541" s="112">
        <v>5056</v>
      </c>
      <c r="I541" s="174" t="s">
        <v>733</v>
      </c>
      <c r="J541" s="40" t="s">
        <v>69</v>
      </c>
      <c r="K541" s="330" t="s">
        <v>3107</v>
      </c>
      <c r="L541" s="17" t="s">
        <v>2</v>
      </c>
      <c r="M541" s="108" t="s">
        <v>937</v>
      </c>
    </row>
    <row r="542" spans="1:15" x14ac:dyDescent="0.25">
      <c r="A542" s="107" t="s">
        <v>916</v>
      </c>
      <c r="B542" s="238" t="s">
        <v>921</v>
      </c>
      <c r="C542" s="252" t="s">
        <v>16</v>
      </c>
      <c r="D542" s="41">
        <v>48.78</v>
      </c>
      <c r="E542" s="41">
        <v>9.18</v>
      </c>
      <c r="F542" s="116">
        <f t="shared" si="19"/>
        <v>5112</v>
      </c>
      <c r="G542" s="27">
        <v>5211</v>
      </c>
      <c r="H542" s="314">
        <v>5013</v>
      </c>
      <c r="I542" s="97" t="s">
        <v>952</v>
      </c>
      <c r="J542" s="40" t="s">
        <v>264</v>
      </c>
      <c r="K542" s="330" t="s">
        <v>3107</v>
      </c>
      <c r="L542" s="17" t="s">
        <v>14</v>
      </c>
      <c r="M542" s="108" t="s">
        <v>951</v>
      </c>
    </row>
    <row r="543" spans="1:15" x14ac:dyDescent="0.25">
      <c r="A543" s="107" t="s">
        <v>916</v>
      </c>
      <c r="B543" s="238" t="s">
        <v>921</v>
      </c>
      <c r="C543" s="252" t="s">
        <v>16</v>
      </c>
      <c r="D543" s="41">
        <v>48.78</v>
      </c>
      <c r="E543" s="41">
        <v>9.18</v>
      </c>
      <c r="F543" s="116">
        <f t="shared" si="19"/>
        <v>5112</v>
      </c>
      <c r="G543" s="27">
        <f>AVERAGE(G542)</f>
        <v>5211</v>
      </c>
      <c r="H543" s="314">
        <f>AVERAGE(H542)</f>
        <v>5013</v>
      </c>
      <c r="I543" s="201" t="s">
        <v>130</v>
      </c>
      <c r="J543" s="398"/>
      <c r="K543" s="330" t="s">
        <v>3107</v>
      </c>
      <c r="L543" s="17" t="s">
        <v>2</v>
      </c>
      <c r="M543" s="87" t="s">
        <v>3111</v>
      </c>
      <c r="O543" s="205" t="s">
        <v>3115</v>
      </c>
    </row>
    <row r="544" spans="1:15" x14ac:dyDescent="0.25">
      <c r="A544" s="107" t="s">
        <v>916</v>
      </c>
      <c r="B544" s="238" t="s">
        <v>921</v>
      </c>
      <c r="C544" s="252" t="s">
        <v>16</v>
      </c>
      <c r="D544" s="41">
        <v>48.78</v>
      </c>
      <c r="E544" s="41">
        <v>9.18</v>
      </c>
      <c r="F544" s="116">
        <f t="shared" si="19"/>
        <v>5112</v>
      </c>
      <c r="G544" s="27">
        <f>AVERAGE(G547)</f>
        <v>5211</v>
      </c>
      <c r="H544" s="314">
        <f>AVERAGE(H547)</f>
        <v>5013</v>
      </c>
      <c r="I544" s="201" t="s">
        <v>128</v>
      </c>
      <c r="J544" s="605"/>
      <c r="K544" s="330" t="s">
        <v>3107</v>
      </c>
      <c r="L544" s="17" t="s">
        <v>2</v>
      </c>
      <c r="M544" s="87" t="s">
        <v>3112</v>
      </c>
      <c r="O544" s="205" t="s">
        <v>3115</v>
      </c>
    </row>
    <row r="545" spans="1:15" x14ac:dyDescent="0.25">
      <c r="A545" s="107" t="s">
        <v>916</v>
      </c>
      <c r="B545" s="238" t="s">
        <v>921</v>
      </c>
      <c r="C545" s="252" t="s">
        <v>16</v>
      </c>
      <c r="D545" s="41">
        <v>48.78</v>
      </c>
      <c r="E545" s="41">
        <v>9.18</v>
      </c>
      <c r="F545" s="116">
        <f t="shared" si="19"/>
        <v>5112</v>
      </c>
      <c r="G545" s="27">
        <f>AVERAGE(G543)</f>
        <v>5211</v>
      </c>
      <c r="H545" s="314">
        <f>AVERAGE(H543)</f>
        <v>5013</v>
      </c>
      <c r="I545" s="201" t="s">
        <v>38</v>
      </c>
      <c r="J545" s="605"/>
      <c r="K545" s="330" t="s">
        <v>3107</v>
      </c>
      <c r="L545" s="17" t="s">
        <v>2</v>
      </c>
      <c r="M545" s="87" t="s">
        <v>3113</v>
      </c>
      <c r="O545" s="205" t="s">
        <v>3115</v>
      </c>
    </row>
    <row r="546" spans="1:15" ht="15.75" thickBot="1" x14ac:dyDescent="0.3">
      <c r="A546" s="107" t="s">
        <v>916</v>
      </c>
      <c r="B546" s="238" t="s">
        <v>921</v>
      </c>
      <c r="C546" s="252" t="s">
        <v>16</v>
      </c>
      <c r="D546" s="41">
        <v>48.78</v>
      </c>
      <c r="E546" s="41">
        <v>9.18</v>
      </c>
      <c r="F546" s="116">
        <f t="shared" si="19"/>
        <v>5112</v>
      </c>
      <c r="G546" s="27">
        <f>AVERAGE(G544)</f>
        <v>5211</v>
      </c>
      <c r="H546" s="314">
        <f>AVERAGE(H544)</f>
        <v>5013</v>
      </c>
      <c r="I546" s="201" t="s">
        <v>18</v>
      </c>
      <c r="J546" s="398" t="s">
        <v>264</v>
      </c>
      <c r="K546" s="330" t="s">
        <v>3107</v>
      </c>
      <c r="L546" s="17" t="s">
        <v>14</v>
      </c>
      <c r="M546" s="87" t="s">
        <v>3114</v>
      </c>
      <c r="O546" s="205" t="s">
        <v>3115</v>
      </c>
    </row>
    <row r="547" spans="1:15" ht="16.5" thickBot="1" x14ac:dyDescent="0.3">
      <c r="A547" s="107" t="s">
        <v>916</v>
      </c>
      <c r="B547" s="238" t="s">
        <v>921</v>
      </c>
      <c r="C547" s="252" t="s">
        <v>16</v>
      </c>
      <c r="D547" s="41">
        <v>48.78</v>
      </c>
      <c r="E547" s="41">
        <v>9.18</v>
      </c>
      <c r="F547" s="116">
        <f t="shared" si="19"/>
        <v>5112</v>
      </c>
      <c r="G547" s="27">
        <v>5211</v>
      </c>
      <c r="H547" s="314">
        <v>5013</v>
      </c>
      <c r="I547" s="178" t="s">
        <v>481</v>
      </c>
      <c r="J547" s="606"/>
      <c r="K547" s="566" t="s">
        <v>3107</v>
      </c>
      <c r="L547" s="17" t="s">
        <v>2</v>
      </c>
      <c r="M547" s="108" t="s">
        <v>3116</v>
      </c>
      <c r="O547" s="205" t="s">
        <v>3115</v>
      </c>
    </row>
    <row r="548" spans="1:15" x14ac:dyDescent="0.25">
      <c r="A548" s="107" t="s">
        <v>916</v>
      </c>
      <c r="B548" s="238" t="s">
        <v>949</v>
      </c>
      <c r="C548" s="252" t="s">
        <v>16</v>
      </c>
      <c r="D548" s="41">
        <v>51.895833330000002</v>
      </c>
      <c r="E548" s="41">
        <v>11.04666667</v>
      </c>
      <c r="F548" s="116">
        <f t="shared" si="19"/>
        <v>5086.5</v>
      </c>
      <c r="G548" s="27">
        <v>5212</v>
      </c>
      <c r="H548" s="112">
        <v>4961</v>
      </c>
      <c r="I548" s="97" t="s">
        <v>950</v>
      </c>
      <c r="J548" s="40" t="s">
        <v>133</v>
      </c>
      <c r="K548" s="330" t="s">
        <v>4213</v>
      </c>
      <c r="L548" s="17" t="s">
        <v>14</v>
      </c>
      <c r="M548" s="108" t="s">
        <v>947</v>
      </c>
      <c r="N548" s="230" t="s">
        <v>948</v>
      </c>
    </row>
    <row r="549" spans="1:15" ht="15.75" thickBot="1" x14ac:dyDescent="0.3">
      <c r="A549" s="107" t="s">
        <v>916</v>
      </c>
      <c r="B549" s="238" t="s">
        <v>949</v>
      </c>
      <c r="C549" s="252" t="s">
        <v>16</v>
      </c>
      <c r="D549" s="41">
        <v>51.895833330000002</v>
      </c>
      <c r="E549" s="41">
        <v>11.04666667</v>
      </c>
      <c r="F549" s="116">
        <f t="shared" si="19"/>
        <v>5031</v>
      </c>
      <c r="G549" s="27">
        <v>5207</v>
      </c>
      <c r="H549" s="114">
        <v>4855</v>
      </c>
      <c r="I549" s="97" t="s">
        <v>956</v>
      </c>
      <c r="J549" s="40" t="s">
        <v>311</v>
      </c>
      <c r="K549" s="330" t="s">
        <v>4213</v>
      </c>
      <c r="L549" s="17" t="s">
        <v>14</v>
      </c>
      <c r="M549" s="108" t="s">
        <v>954</v>
      </c>
      <c r="N549" s="230" t="s">
        <v>955</v>
      </c>
    </row>
    <row r="550" spans="1:15" ht="15.75" thickBot="1" x14ac:dyDescent="0.3">
      <c r="A550" s="107" t="s">
        <v>916</v>
      </c>
      <c r="B550" s="238" t="s">
        <v>949</v>
      </c>
      <c r="C550" s="252" t="s">
        <v>16</v>
      </c>
      <c r="D550" s="41">
        <v>51.895833330000002</v>
      </c>
      <c r="E550" s="41">
        <v>11.04666667</v>
      </c>
      <c r="F550" s="116">
        <f t="shared" si="19"/>
        <v>5058.75</v>
      </c>
      <c r="G550" s="27">
        <f>(G548+G549)/2</f>
        <v>5209.5</v>
      </c>
      <c r="H550" s="114">
        <f>(H548+H549)/2</f>
        <v>4908</v>
      </c>
      <c r="I550" s="213" t="s">
        <v>3063</v>
      </c>
      <c r="J550" s="398" t="s">
        <v>311</v>
      </c>
      <c r="K550" s="417" t="s">
        <v>21</v>
      </c>
      <c r="L550" s="17" t="s">
        <v>14</v>
      </c>
      <c r="M550" s="87" t="s">
        <v>3052</v>
      </c>
      <c r="N550" s="209" t="s">
        <v>3055</v>
      </c>
      <c r="O550" s="205" t="s">
        <v>3062</v>
      </c>
    </row>
    <row r="551" spans="1:15" x14ac:dyDescent="0.25">
      <c r="A551" s="107" t="s">
        <v>916</v>
      </c>
      <c r="B551" s="238" t="s">
        <v>949</v>
      </c>
      <c r="C551" s="252" t="s">
        <v>16</v>
      </c>
      <c r="D551" s="41">
        <v>51.895833330000002</v>
      </c>
      <c r="E551" s="41">
        <v>11.04666667</v>
      </c>
      <c r="F551" s="116">
        <f t="shared" si="19"/>
        <v>5058.75</v>
      </c>
      <c r="G551" s="27">
        <v>5209.5</v>
      </c>
      <c r="H551" s="114">
        <v>4908</v>
      </c>
      <c r="I551" s="212" t="s">
        <v>87</v>
      </c>
      <c r="J551" s="398" t="s">
        <v>769</v>
      </c>
      <c r="K551" s="417" t="s">
        <v>21</v>
      </c>
      <c r="L551" s="17" t="s">
        <v>14</v>
      </c>
      <c r="M551" s="87" t="s">
        <v>3053</v>
      </c>
      <c r="N551" s="209" t="s">
        <v>3056</v>
      </c>
      <c r="O551" s="205" t="s">
        <v>3062</v>
      </c>
    </row>
    <row r="552" spans="1:15" ht="15.75" thickBot="1" x14ac:dyDescent="0.3">
      <c r="A552" s="107" t="s">
        <v>916</v>
      </c>
      <c r="B552" s="238" t="s">
        <v>949</v>
      </c>
      <c r="C552" s="252" t="s">
        <v>16</v>
      </c>
      <c r="D552" s="41">
        <v>51.895833330000002</v>
      </c>
      <c r="E552" s="41">
        <v>11.04666667</v>
      </c>
      <c r="F552" s="116">
        <f t="shared" si="19"/>
        <v>5058.75</v>
      </c>
      <c r="G552" s="27">
        <v>5209.5</v>
      </c>
      <c r="H552" s="114">
        <v>4908</v>
      </c>
      <c r="I552" s="212" t="s">
        <v>105</v>
      </c>
      <c r="J552" s="398" t="s">
        <v>1856</v>
      </c>
      <c r="K552" s="417" t="s">
        <v>21</v>
      </c>
      <c r="L552" s="17" t="s">
        <v>14</v>
      </c>
      <c r="M552" s="87" t="s">
        <v>3054</v>
      </c>
      <c r="N552" s="209" t="s">
        <v>3057</v>
      </c>
      <c r="O552" s="205" t="s">
        <v>3062</v>
      </c>
    </row>
    <row r="553" spans="1:15" ht="15.75" thickBot="1" x14ac:dyDescent="0.3">
      <c r="A553" s="107" t="s">
        <v>916</v>
      </c>
      <c r="B553" s="238" t="s">
        <v>949</v>
      </c>
      <c r="C553" s="252" t="s">
        <v>16</v>
      </c>
      <c r="D553" s="41">
        <v>51.895833330000002</v>
      </c>
      <c r="E553" s="41">
        <v>11.04666667</v>
      </c>
      <c r="F553" s="116">
        <f t="shared" si="19"/>
        <v>5058.75</v>
      </c>
      <c r="G553" s="27">
        <v>5209.5</v>
      </c>
      <c r="H553" s="114">
        <v>4908</v>
      </c>
      <c r="I553" s="213" t="s">
        <v>6</v>
      </c>
      <c r="J553" s="398" t="s">
        <v>84</v>
      </c>
      <c r="K553" s="417" t="s">
        <v>21</v>
      </c>
      <c r="L553" s="17" t="s">
        <v>14</v>
      </c>
      <c r="M553" s="87" t="s">
        <v>3058</v>
      </c>
      <c r="N553" s="209" t="s">
        <v>3060</v>
      </c>
      <c r="O553" s="205" t="s">
        <v>3062</v>
      </c>
    </row>
    <row r="554" spans="1:15" ht="15.75" thickBot="1" x14ac:dyDescent="0.3">
      <c r="A554" s="107" t="s">
        <v>916</v>
      </c>
      <c r="B554" s="238" t="s">
        <v>949</v>
      </c>
      <c r="C554" s="252" t="s">
        <v>16</v>
      </c>
      <c r="D554" s="41">
        <v>51.895833330000002</v>
      </c>
      <c r="E554" s="41">
        <v>11.04666667</v>
      </c>
      <c r="F554" s="116">
        <f t="shared" si="19"/>
        <v>5058.75</v>
      </c>
      <c r="G554" s="27">
        <v>5209.5</v>
      </c>
      <c r="H554" s="114">
        <v>4908</v>
      </c>
      <c r="I554" s="212" t="s">
        <v>3064</v>
      </c>
      <c r="J554" s="398" t="s">
        <v>1856</v>
      </c>
      <c r="K554" s="417" t="s">
        <v>21</v>
      </c>
      <c r="L554" s="17" t="s">
        <v>14</v>
      </c>
      <c r="M554" s="87" t="s">
        <v>3059</v>
      </c>
      <c r="N554" s="209" t="s">
        <v>3061</v>
      </c>
      <c r="O554" s="205" t="s">
        <v>3062</v>
      </c>
    </row>
    <row r="555" spans="1:15" s="2" customFormat="1" ht="15.75" thickBot="1" x14ac:dyDescent="0.3">
      <c r="A555" s="107" t="s">
        <v>2409</v>
      </c>
      <c r="B555" s="205" t="s">
        <v>88</v>
      </c>
      <c r="C555" s="252" t="s">
        <v>16</v>
      </c>
      <c r="D555" s="17">
        <v>51.870379999999997</v>
      </c>
      <c r="E555" s="17">
        <v>10.910170000000001</v>
      </c>
      <c r="F555" s="116">
        <f t="shared" si="19"/>
        <v>5071.5</v>
      </c>
      <c r="G555" s="547">
        <v>5208</v>
      </c>
      <c r="H555" s="547">
        <v>4935</v>
      </c>
      <c r="I555" s="176" t="s">
        <v>43</v>
      </c>
      <c r="J555" s="607" t="s">
        <v>2408</v>
      </c>
      <c r="K555" s="220" t="s">
        <v>21</v>
      </c>
      <c r="L555" s="17" t="s">
        <v>14</v>
      </c>
      <c r="M555" s="108" t="s">
        <v>2401</v>
      </c>
      <c r="N555" s="230"/>
      <c r="O555" s="205" t="s">
        <v>2407</v>
      </c>
    </row>
    <row r="556" spans="1:15" s="2" customFormat="1" x14ac:dyDescent="0.25">
      <c r="A556" s="107" t="s">
        <v>2397</v>
      </c>
      <c r="B556" s="205" t="s">
        <v>88</v>
      </c>
      <c r="C556" s="252" t="s">
        <v>16</v>
      </c>
      <c r="D556" s="17">
        <v>51.870379999999997</v>
      </c>
      <c r="E556" s="17">
        <v>10.910170000000001</v>
      </c>
      <c r="F556" s="116">
        <f t="shared" si="19"/>
        <v>5145.5</v>
      </c>
      <c r="G556" s="548">
        <v>5208</v>
      </c>
      <c r="H556" s="548">
        <v>5083</v>
      </c>
      <c r="I556" s="124" t="s">
        <v>2356</v>
      </c>
      <c r="J556" s="607" t="s">
        <v>2408</v>
      </c>
      <c r="K556" s="220" t="s">
        <v>21</v>
      </c>
      <c r="L556" s="17" t="s">
        <v>14</v>
      </c>
      <c r="M556" s="108" t="s">
        <v>2402</v>
      </c>
      <c r="N556" s="230"/>
      <c r="O556" s="205" t="s">
        <v>2407</v>
      </c>
    </row>
    <row r="557" spans="1:15" s="2" customFormat="1" x14ac:dyDescent="0.25">
      <c r="A557" s="107" t="s">
        <v>2397</v>
      </c>
      <c r="B557" s="205" t="s">
        <v>88</v>
      </c>
      <c r="C557" s="252" t="s">
        <v>16</v>
      </c>
      <c r="D557" s="17">
        <v>51.870379999999997</v>
      </c>
      <c r="E557" s="17">
        <v>10.910170000000001</v>
      </c>
      <c r="F557" s="116">
        <f t="shared" si="19"/>
        <v>5071.5</v>
      </c>
      <c r="G557" s="549">
        <v>5208</v>
      </c>
      <c r="H557" s="549">
        <v>4935</v>
      </c>
      <c r="I557" s="124" t="s">
        <v>2398</v>
      </c>
      <c r="J557" s="607" t="s">
        <v>2408</v>
      </c>
      <c r="K557" s="220" t="s">
        <v>21</v>
      </c>
      <c r="L557" s="17" t="s">
        <v>14</v>
      </c>
      <c r="M557" s="108" t="s">
        <v>2403</v>
      </c>
      <c r="N557" s="230"/>
      <c r="O557" s="205" t="s">
        <v>2407</v>
      </c>
    </row>
    <row r="558" spans="1:15" s="2" customFormat="1" ht="15.75" thickBot="1" x14ac:dyDescent="0.3">
      <c r="A558" s="107" t="s">
        <v>2397</v>
      </c>
      <c r="B558" s="205" t="s">
        <v>88</v>
      </c>
      <c r="C558" s="252" t="s">
        <v>16</v>
      </c>
      <c r="D558" s="17">
        <v>51.870379999999997</v>
      </c>
      <c r="E558" s="17">
        <v>10.910170000000001</v>
      </c>
      <c r="F558" s="116">
        <f t="shared" si="19"/>
        <v>5071.5</v>
      </c>
      <c r="G558" s="549">
        <v>5208</v>
      </c>
      <c r="H558" s="549">
        <v>4935</v>
      </c>
      <c r="I558" s="124" t="s">
        <v>2399</v>
      </c>
      <c r="J558" s="607" t="s">
        <v>2408</v>
      </c>
      <c r="K558" s="220" t="s">
        <v>21</v>
      </c>
      <c r="L558" s="17" t="s">
        <v>14</v>
      </c>
      <c r="M558" s="108" t="s">
        <v>2404</v>
      </c>
      <c r="N558" s="230"/>
      <c r="O558" s="205" t="s">
        <v>2407</v>
      </c>
    </row>
    <row r="559" spans="1:15" s="2" customFormat="1" ht="15.75" thickBot="1" x14ac:dyDescent="0.3">
      <c r="A559" s="107" t="s">
        <v>2397</v>
      </c>
      <c r="B559" s="205" t="s">
        <v>88</v>
      </c>
      <c r="C559" s="252" t="s">
        <v>16</v>
      </c>
      <c r="D559" s="17">
        <v>51.870379999999997</v>
      </c>
      <c r="E559" s="17">
        <v>10.910170000000001</v>
      </c>
      <c r="F559" s="116">
        <f t="shared" si="19"/>
        <v>5071.5</v>
      </c>
      <c r="G559" s="549">
        <v>5208</v>
      </c>
      <c r="H559" s="549">
        <v>4935</v>
      </c>
      <c r="I559" s="191" t="s">
        <v>2400</v>
      </c>
      <c r="J559" s="607" t="s">
        <v>2408</v>
      </c>
      <c r="K559" s="220" t="s">
        <v>21</v>
      </c>
      <c r="L559" s="17" t="s">
        <v>14</v>
      </c>
      <c r="M559" s="108" t="s">
        <v>2405</v>
      </c>
      <c r="N559" s="230"/>
      <c r="O559" s="205" t="s">
        <v>2407</v>
      </c>
    </row>
    <row r="560" spans="1:15" s="2" customFormat="1" x14ac:dyDescent="0.25">
      <c r="A560" s="107" t="s">
        <v>2397</v>
      </c>
      <c r="B560" s="205" t="s">
        <v>88</v>
      </c>
      <c r="C560" s="252" t="s">
        <v>16</v>
      </c>
      <c r="D560" s="17">
        <v>51.870379999999997</v>
      </c>
      <c r="E560" s="17">
        <v>10.910170000000001</v>
      </c>
      <c r="F560" s="116">
        <f t="shared" si="19"/>
        <v>5196.5</v>
      </c>
      <c r="G560" s="548">
        <v>5318</v>
      </c>
      <c r="H560" s="548">
        <v>5075</v>
      </c>
      <c r="I560" s="124" t="s">
        <v>2356</v>
      </c>
      <c r="J560" s="607" t="s">
        <v>2408</v>
      </c>
      <c r="K560" s="220" t="s">
        <v>21</v>
      </c>
      <c r="L560" s="17" t="s">
        <v>14</v>
      </c>
      <c r="M560" s="108" t="s">
        <v>2406</v>
      </c>
      <c r="N560" s="230"/>
      <c r="O560" s="205" t="s">
        <v>2407</v>
      </c>
    </row>
    <row r="561" spans="1:15" s="2" customFormat="1" x14ac:dyDescent="0.25">
      <c r="A561" s="665" t="s">
        <v>4262</v>
      </c>
      <c r="B561" s="672"/>
      <c r="C561" s="672"/>
      <c r="D561" s="680">
        <f>AVERAGE(D382:D560)</f>
        <v>50.69739806139664</v>
      </c>
      <c r="E561" s="680">
        <f>AVERAGE(E382:E560)</f>
        <v>10.308239629106138</v>
      </c>
      <c r="F561" s="681">
        <f>AVERAGE(F382:F560)</f>
        <v>5115.0293296089385</v>
      </c>
      <c r="G561" s="17"/>
      <c r="H561" s="112"/>
      <c r="I561" s="320"/>
      <c r="J561" s="40"/>
      <c r="K561" s="194"/>
      <c r="L561" s="17"/>
      <c r="M561" s="108"/>
      <c r="N561" s="354"/>
      <c r="O561" s="61"/>
    </row>
    <row r="562" spans="1:15" x14ac:dyDescent="0.25">
      <c r="A562" s="106" t="s">
        <v>4250</v>
      </c>
      <c r="B562" s="236"/>
      <c r="C562" s="402"/>
      <c r="D562" s="17"/>
      <c r="E562" s="17"/>
      <c r="F562" s="118"/>
      <c r="G562" s="17"/>
      <c r="N562" s="354"/>
      <c r="O562" s="61"/>
    </row>
    <row r="563" spans="1:15" x14ac:dyDescent="0.25">
      <c r="A563" s="106" t="s">
        <v>4253</v>
      </c>
      <c r="B563" s="236"/>
      <c r="C563" s="402"/>
      <c r="D563" s="17"/>
      <c r="E563" s="17"/>
      <c r="F563" s="118"/>
      <c r="G563" s="17"/>
      <c r="N563" s="354"/>
      <c r="O563" s="61"/>
    </row>
    <row r="564" spans="1:15" x14ac:dyDescent="0.25">
      <c r="A564" s="106" t="s">
        <v>2410</v>
      </c>
      <c r="B564" s="236"/>
      <c r="C564" s="402"/>
      <c r="D564" s="17"/>
      <c r="E564" s="17"/>
      <c r="F564" s="118"/>
      <c r="G564" s="17"/>
      <c r="N564" s="354"/>
      <c r="O564" s="61"/>
    </row>
    <row r="565" spans="1:15" x14ac:dyDescent="0.25">
      <c r="A565" s="106"/>
      <c r="B565" s="356"/>
      <c r="C565" s="403"/>
      <c r="D565" s="17"/>
      <c r="E565" s="17"/>
      <c r="F565" s="118"/>
      <c r="G565" s="17"/>
      <c r="N565" s="354"/>
      <c r="O565" s="61"/>
    </row>
    <row r="566" spans="1:15" x14ac:dyDescent="0.25">
      <c r="A566" s="665" t="s">
        <v>4261</v>
      </c>
      <c r="B566" s="356"/>
      <c r="C566" s="403"/>
      <c r="D566" s="17"/>
      <c r="E566" s="17"/>
      <c r="F566" s="118"/>
      <c r="G566" s="17"/>
      <c r="N566" s="354"/>
      <c r="O566" s="61"/>
    </row>
    <row r="567" spans="1:15" s="100" customFormat="1" ht="32.450000000000003" customHeight="1" x14ac:dyDescent="0.25">
      <c r="A567" s="507" t="s">
        <v>4291</v>
      </c>
      <c r="B567" s="508" t="s">
        <v>1247</v>
      </c>
      <c r="C567" s="519" t="s">
        <v>0</v>
      </c>
      <c r="D567" s="510" t="s">
        <v>969</v>
      </c>
      <c r="E567" s="510" t="s">
        <v>2323</v>
      </c>
      <c r="F567" s="510" t="s">
        <v>398</v>
      </c>
      <c r="G567" s="511" t="s">
        <v>399</v>
      </c>
      <c r="H567" s="512" t="s">
        <v>400</v>
      </c>
      <c r="I567" s="101" t="s">
        <v>2322</v>
      </c>
      <c r="J567" s="589" t="s">
        <v>3927</v>
      </c>
      <c r="K567" s="590" t="s">
        <v>3250</v>
      </c>
      <c r="L567" s="591" t="s">
        <v>1</v>
      </c>
      <c r="M567" s="590" t="s">
        <v>3486</v>
      </c>
      <c r="N567" s="640" t="s">
        <v>3487</v>
      </c>
      <c r="O567" s="339" t="s">
        <v>2324</v>
      </c>
    </row>
    <row r="568" spans="1:15" x14ac:dyDescent="0.25">
      <c r="A568" s="87" t="s">
        <v>395</v>
      </c>
      <c r="B568" s="238" t="s">
        <v>286</v>
      </c>
      <c r="C568" s="252" t="s">
        <v>282</v>
      </c>
      <c r="D568" s="41">
        <v>58.182932000000001</v>
      </c>
      <c r="E568" s="41">
        <v>13.399781000000001</v>
      </c>
      <c r="F568" s="118">
        <f t="shared" ref="F568:F584" si="20">(H568+G568)/2</f>
        <v>3150</v>
      </c>
      <c r="G568" s="27">
        <v>3400</v>
      </c>
      <c r="H568" s="112">
        <v>2900</v>
      </c>
      <c r="I568" s="97" t="s">
        <v>81</v>
      </c>
      <c r="J568" s="40" t="s">
        <v>69</v>
      </c>
      <c r="K568" s="194" t="s">
        <v>683</v>
      </c>
      <c r="L568" s="17" t="s">
        <v>69</v>
      </c>
      <c r="M568" s="108" t="s">
        <v>289</v>
      </c>
      <c r="O568" s="205"/>
    </row>
    <row r="569" spans="1:15" x14ac:dyDescent="0.25">
      <c r="A569" s="87" t="s">
        <v>396</v>
      </c>
      <c r="B569" s="238" t="s">
        <v>286</v>
      </c>
      <c r="C569" s="252" t="s">
        <v>282</v>
      </c>
      <c r="D569" s="41">
        <v>58.182932000000001</v>
      </c>
      <c r="E569" s="41">
        <v>13.399781000000001</v>
      </c>
      <c r="F569" s="118">
        <f t="shared" si="20"/>
        <v>3000</v>
      </c>
      <c r="G569" s="27">
        <v>3100</v>
      </c>
      <c r="H569" s="112">
        <v>2900</v>
      </c>
      <c r="I569" s="97" t="s">
        <v>18</v>
      </c>
      <c r="J569" s="40" t="s">
        <v>69</v>
      </c>
      <c r="K569" s="194" t="s">
        <v>683</v>
      </c>
      <c r="L569" s="17" t="s">
        <v>14</v>
      </c>
      <c r="M569" s="108" t="s">
        <v>292</v>
      </c>
      <c r="N569" s="230" t="s">
        <v>816</v>
      </c>
      <c r="O569" s="205" t="s">
        <v>3957</v>
      </c>
    </row>
    <row r="570" spans="1:15" x14ac:dyDescent="0.25">
      <c r="A570" s="87" t="s">
        <v>395</v>
      </c>
      <c r="B570" s="238" t="s">
        <v>286</v>
      </c>
      <c r="C570" s="252" t="s">
        <v>282</v>
      </c>
      <c r="D570" s="41">
        <v>58.182932000000001</v>
      </c>
      <c r="E570" s="41">
        <v>13.399781000000001</v>
      </c>
      <c r="F570" s="118">
        <f t="shared" si="20"/>
        <v>3150</v>
      </c>
      <c r="G570" s="27">
        <v>3400</v>
      </c>
      <c r="H570" s="112">
        <v>2900</v>
      </c>
      <c r="I570" s="97" t="s">
        <v>7</v>
      </c>
      <c r="J570" s="40" t="s">
        <v>69</v>
      </c>
      <c r="K570" s="194" t="s">
        <v>683</v>
      </c>
      <c r="L570" s="17" t="s">
        <v>69</v>
      </c>
      <c r="M570" s="108" t="s">
        <v>293</v>
      </c>
      <c r="O570" s="205"/>
    </row>
    <row r="571" spans="1:15" x14ac:dyDescent="0.25">
      <c r="A571" s="107" t="s">
        <v>3897</v>
      </c>
      <c r="B571" s="238" t="s">
        <v>281</v>
      </c>
      <c r="C571" s="252" t="s">
        <v>282</v>
      </c>
      <c r="D571" s="41">
        <v>56.538200000000003</v>
      </c>
      <c r="E571" s="41">
        <v>16.446204000000002</v>
      </c>
      <c r="F571" s="118">
        <f t="shared" si="20"/>
        <v>2326</v>
      </c>
      <c r="G571" s="27">
        <v>2451</v>
      </c>
      <c r="H571" s="112">
        <v>2201</v>
      </c>
      <c r="I571" s="97" t="s">
        <v>18</v>
      </c>
      <c r="J571" s="40" t="s">
        <v>69</v>
      </c>
      <c r="K571" s="194" t="s">
        <v>683</v>
      </c>
      <c r="L571" s="17" t="s">
        <v>69</v>
      </c>
      <c r="M571" s="108" t="s">
        <v>283</v>
      </c>
      <c r="O571" s="205"/>
    </row>
    <row r="572" spans="1:15" x14ac:dyDescent="0.25">
      <c r="A572" s="107" t="s">
        <v>382</v>
      </c>
      <c r="B572" s="238" t="s">
        <v>281</v>
      </c>
      <c r="C572" s="252" t="s">
        <v>282</v>
      </c>
      <c r="D572" s="41">
        <v>56.538200000000003</v>
      </c>
      <c r="E572" s="41">
        <v>16.446204000000002</v>
      </c>
      <c r="F572" s="118">
        <f t="shared" si="20"/>
        <v>2651</v>
      </c>
      <c r="G572" s="27">
        <v>2851</v>
      </c>
      <c r="H572" s="112">
        <v>2451</v>
      </c>
      <c r="I572" s="97" t="s">
        <v>284</v>
      </c>
      <c r="J572" s="40" t="s">
        <v>69</v>
      </c>
      <c r="K572" s="194" t="s">
        <v>683</v>
      </c>
      <c r="L572" s="17" t="s">
        <v>69</v>
      </c>
      <c r="M572" s="108" t="s">
        <v>285</v>
      </c>
      <c r="O572" s="205"/>
    </row>
    <row r="573" spans="1:15" ht="15.75" thickBot="1" x14ac:dyDescent="0.3">
      <c r="A573" s="107" t="s">
        <v>394</v>
      </c>
      <c r="B573" s="238" t="s">
        <v>286</v>
      </c>
      <c r="C573" s="252" t="s">
        <v>282</v>
      </c>
      <c r="D573" s="41">
        <v>58.182932000000001</v>
      </c>
      <c r="E573" s="41">
        <v>13.399781000000001</v>
      </c>
      <c r="F573" s="118">
        <f t="shared" si="20"/>
        <v>2751</v>
      </c>
      <c r="G573" s="27">
        <v>2851</v>
      </c>
      <c r="H573" s="112">
        <v>2651</v>
      </c>
      <c r="I573" s="97" t="s">
        <v>287</v>
      </c>
      <c r="J573" s="40" t="s">
        <v>69</v>
      </c>
      <c r="K573" s="194" t="s">
        <v>683</v>
      </c>
      <c r="L573" s="17" t="s">
        <v>2</v>
      </c>
      <c r="M573" s="108" t="s">
        <v>288</v>
      </c>
      <c r="N573" s="230" t="s">
        <v>814</v>
      </c>
      <c r="O573" s="205" t="s">
        <v>3958</v>
      </c>
    </row>
    <row r="574" spans="1:15" ht="15.75" thickBot="1" x14ac:dyDescent="0.3">
      <c r="A574" s="107" t="s">
        <v>394</v>
      </c>
      <c r="B574" s="238" t="s">
        <v>286</v>
      </c>
      <c r="C574" s="252" t="s">
        <v>282</v>
      </c>
      <c r="D574" s="41">
        <v>58.182932000000001</v>
      </c>
      <c r="E574" s="41">
        <v>13.399781000000001</v>
      </c>
      <c r="F574" s="118">
        <f t="shared" si="20"/>
        <v>2951</v>
      </c>
      <c r="G574" s="27">
        <v>3101</v>
      </c>
      <c r="H574" s="112">
        <v>2801</v>
      </c>
      <c r="I574" s="174" t="s">
        <v>290</v>
      </c>
      <c r="J574" s="40" t="s">
        <v>69</v>
      </c>
      <c r="K574" s="194" t="s">
        <v>683</v>
      </c>
      <c r="L574" s="17" t="s">
        <v>2</v>
      </c>
      <c r="M574" s="108" t="s">
        <v>291</v>
      </c>
      <c r="N574" s="230" t="s">
        <v>815</v>
      </c>
      <c r="O574" s="205" t="s">
        <v>3882</v>
      </c>
    </row>
    <row r="575" spans="1:15" ht="15.75" thickBot="1" x14ac:dyDescent="0.3">
      <c r="A575" s="107" t="s">
        <v>394</v>
      </c>
      <c r="B575" s="238" t="s">
        <v>286</v>
      </c>
      <c r="C575" s="252" t="s">
        <v>282</v>
      </c>
      <c r="D575" s="41">
        <v>58.182932000000001</v>
      </c>
      <c r="E575" s="41">
        <v>13.399781000000001</v>
      </c>
      <c r="F575" s="118">
        <f t="shared" si="20"/>
        <v>2951</v>
      </c>
      <c r="G575" s="27">
        <v>3101</v>
      </c>
      <c r="H575" s="112">
        <v>2801</v>
      </c>
      <c r="I575" s="97" t="s">
        <v>18</v>
      </c>
      <c r="J575" s="40" t="s">
        <v>69</v>
      </c>
      <c r="K575" s="194" t="s">
        <v>683</v>
      </c>
      <c r="L575" s="17" t="s">
        <v>2</v>
      </c>
      <c r="M575" s="108" t="s">
        <v>294</v>
      </c>
      <c r="N575" s="230" t="s">
        <v>813</v>
      </c>
      <c r="O575" s="205" t="s">
        <v>3883</v>
      </c>
    </row>
    <row r="576" spans="1:15" s="2" customFormat="1" ht="15.75" thickBot="1" x14ac:dyDescent="0.3">
      <c r="A576" s="107" t="s">
        <v>3866</v>
      </c>
      <c r="B576" s="208" t="s">
        <v>3867</v>
      </c>
      <c r="C576" s="252" t="s">
        <v>282</v>
      </c>
      <c r="D576" s="90">
        <v>57.50864</v>
      </c>
      <c r="E576" s="90">
        <v>18.14049</v>
      </c>
      <c r="F576" s="118">
        <f t="shared" si="20"/>
        <v>3315</v>
      </c>
      <c r="G576" s="27">
        <v>3500</v>
      </c>
      <c r="H576" s="112">
        <v>3130</v>
      </c>
      <c r="I576" s="174" t="s">
        <v>915</v>
      </c>
      <c r="J576" s="40" t="s">
        <v>69</v>
      </c>
      <c r="K576" s="194" t="s">
        <v>683</v>
      </c>
      <c r="L576" s="17" t="s">
        <v>69</v>
      </c>
      <c r="M576" s="108" t="s">
        <v>3872</v>
      </c>
      <c r="N576" s="230" t="s">
        <v>3888</v>
      </c>
      <c r="O576" s="205" t="s">
        <v>3881</v>
      </c>
    </row>
    <row r="577" spans="1:15" s="2" customFormat="1" x14ac:dyDescent="0.25">
      <c r="A577" s="107" t="s">
        <v>3866</v>
      </c>
      <c r="B577" s="208" t="s">
        <v>3867</v>
      </c>
      <c r="C577" s="252" t="s">
        <v>282</v>
      </c>
      <c r="D577" s="90">
        <v>57.50864</v>
      </c>
      <c r="E577" s="90">
        <v>18.14049</v>
      </c>
      <c r="F577" s="118">
        <f t="shared" si="20"/>
        <v>3300</v>
      </c>
      <c r="G577" s="27">
        <v>3490</v>
      </c>
      <c r="H577" s="112">
        <v>3110</v>
      </c>
      <c r="I577" s="97" t="s">
        <v>3868</v>
      </c>
      <c r="J577" s="40" t="s">
        <v>69</v>
      </c>
      <c r="K577" s="194" t="s">
        <v>683</v>
      </c>
      <c r="L577" s="17" t="s">
        <v>69</v>
      </c>
      <c r="M577" s="108" t="s">
        <v>3873</v>
      </c>
      <c r="N577" s="230" t="s">
        <v>3889</v>
      </c>
      <c r="O577" s="205" t="s">
        <v>972</v>
      </c>
    </row>
    <row r="578" spans="1:15" s="2" customFormat="1" x14ac:dyDescent="0.25">
      <c r="A578" s="107" t="s">
        <v>3866</v>
      </c>
      <c r="B578" s="208" t="s">
        <v>3867</v>
      </c>
      <c r="C578" s="252" t="s">
        <v>282</v>
      </c>
      <c r="D578" s="90">
        <v>57.50864</v>
      </c>
      <c r="E578" s="90">
        <v>18.14049</v>
      </c>
      <c r="F578" s="118">
        <f t="shared" si="20"/>
        <v>3185</v>
      </c>
      <c r="G578" s="27">
        <v>3340</v>
      </c>
      <c r="H578" s="112">
        <v>3030</v>
      </c>
      <c r="I578" s="97" t="s">
        <v>871</v>
      </c>
      <c r="J578" s="40" t="s">
        <v>69</v>
      </c>
      <c r="K578" s="194" t="s">
        <v>683</v>
      </c>
      <c r="L578" s="17" t="s">
        <v>69</v>
      </c>
      <c r="M578" s="108" t="s">
        <v>3874</v>
      </c>
      <c r="N578" s="230" t="s">
        <v>3890</v>
      </c>
      <c r="O578" s="205" t="s">
        <v>972</v>
      </c>
    </row>
    <row r="579" spans="1:15" s="2" customFormat="1" x14ac:dyDescent="0.25">
      <c r="A579" s="107" t="s">
        <v>3866</v>
      </c>
      <c r="B579" s="208" t="s">
        <v>3867</v>
      </c>
      <c r="C579" s="252" t="s">
        <v>282</v>
      </c>
      <c r="D579" s="90">
        <v>57.50864</v>
      </c>
      <c r="E579" s="90">
        <v>18.14049</v>
      </c>
      <c r="F579" s="118">
        <f t="shared" si="20"/>
        <v>3140</v>
      </c>
      <c r="G579" s="27">
        <v>3330</v>
      </c>
      <c r="H579" s="112">
        <v>2950</v>
      </c>
      <c r="I579" s="97" t="s">
        <v>871</v>
      </c>
      <c r="J579" s="40" t="s">
        <v>69</v>
      </c>
      <c r="K579" s="194" t="s">
        <v>683</v>
      </c>
      <c r="L579" s="17" t="s">
        <v>69</v>
      </c>
      <c r="M579" s="108" t="s">
        <v>3875</v>
      </c>
      <c r="N579" s="230" t="s">
        <v>3891</v>
      </c>
      <c r="O579" s="205" t="s">
        <v>972</v>
      </c>
    </row>
    <row r="580" spans="1:15" s="2" customFormat="1" x14ac:dyDescent="0.25">
      <c r="A580" s="107" t="s">
        <v>3866</v>
      </c>
      <c r="B580" s="208" t="s">
        <v>3867</v>
      </c>
      <c r="C580" s="252" t="s">
        <v>282</v>
      </c>
      <c r="D580" s="90">
        <v>57.50864</v>
      </c>
      <c r="E580" s="90">
        <v>18.14049</v>
      </c>
      <c r="F580" s="118">
        <f t="shared" si="20"/>
        <v>3130</v>
      </c>
      <c r="G580" s="27">
        <v>3330</v>
      </c>
      <c r="H580" s="112">
        <v>2930</v>
      </c>
      <c r="I580" s="97" t="s">
        <v>3733</v>
      </c>
      <c r="J580" s="40" t="s">
        <v>69</v>
      </c>
      <c r="K580" s="194" t="s">
        <v>683</v>
      </c>
      <c r="L580" s="17" t="s">
        <v>69</v>
      </c>
      <c r="M580" s="108" t="s">
        <v>3876</v>
      </c>
      <c r="N580" s="230" t="s">
        <v>3892</v>
      </c>
      <c r="O580" s="205" t="s">
        <v>972</v>
      </c>
    </row>
    <row r="581" spans="1:15" s="2" customFormat="1" ht="15.75" thickBot="1" x14ac:dyDescent="0.3">
      <c r="A581" s="107" t="s">
        <v>3866</v>
      </c>
      <c r="B581" s="208" t="s">
        <v>3867</v>
      </c>
      <c r="C581" s="252" t="s">
        <v>282</v>
      </c>
      <c r="D581" s="90">
        <v>57.50864</v>
      </c>
      <c r="E581" s="90">
        <v>18.14049</v>
      </c>
      <c r="F581" s="118">
        <f t="shared" si="20"/>
        <v>3005</v>
      </c>
      <c r="G581" s="27">
        <v>3090</v>
      </c>
      <c r="H581" s="112">
        <v>2920</v>
      </c>
      <c r="I581" s="97" t="s">
        <v>3869</v>
      </c>
      <c r="J581" s="40" t="s">
        <v>69</v>
      </c>
      <c r="K581" s="194" t="s">
        <v>683</v>
      </c>
      <c r="L581" s="17" t="s">
        <v>69</v>
      </c>
      <c r="M581" s="108" t="s">
        <v>3877</v>
      </c>
      <c r="N581" s="230" t="s">
        <v>3893</v>
      </c>
      <c r="O581" s="205" t="s">
        <v>972</v>
      </c>
    </row>
    <row r="582" spans="1:15" s="2" customFormat="1" ht="15.75" thickBot="1" x14ac:dyDescent="0.3">
      <c r="A582" s="107" t="s">
        <v>3866</v>
      </c>
      <c r="B582" s="208" t="s">
        <v>3867</v>
      </c>
      <c r="C582" s="252" t="s">
        <v>282</v>
      </c>
      <c r="D582" s="90">
        <v>57.50864</v>
      </c>
      <c r="E582" s="90">
        <v>18.14049</v>
      </c>
      <c r="F582" s="118">
        <f t="shared" si="20"/>
        <v>2950</v>
      </c>
      <c r="G582" s="27">
        <v>3010</v>
      </c>
      <c r="H582" s="112">
        <v>2890</v>
      </c>
      <c r="I582" s="174" t="s">
        <v>3870</v>
      </c>
      <c r="J582" s="40" t="s">
        <v>69</v>
      </c>
      <c r="K582" s="194" t="s">
        <v>683</v>
      </c>
      <c r="L582" s="17" t="s">
        <v>69</v>
      </c>
      <c r="M582" s="108" t="s">
        <v>3878</v>
      </c>
      <c r="N582" s="230" t="s">
        <v>3894</v>
      </c>
      <c r="O582" s="205" t="s">
        <v>972</v>
      </c>
    </row>
    <row r="583" spans="1:15" s="2" customFormat="1" ht="15.75" thickBot="1" x14ac:dyDescent="0.3">
      <c r="A583" s="107" t="s">
        <v>3866</v>
      </c>
      <c r="B583" s="208" t="s">
        <v>3867</v>
      </c>
      <c r="C583" s="252" t="s">
        <v>282</v>
      </c>
      <c r="D583" s="90">
        <v>57.50864</v>
      </c>
      <c r="E583" s="90">
        <v>18.14049</v>
      </c>
      <c r="F583" s="118">
        <f t="shared" si="20"/>
        <v>2755</v>
      </c>
      <c r="G583" s="27">
        <v>2880</v>
      </c>
      <c r="H583" s="112">
        <v>2630</v>
      </c>
      <c r="I583" s="174" t="s">
        <v>3870</v>
      </c>
      <c r="J583" s="40" t="s">
        <v>69</v>
      </c>
      <c r="K583" s="194" t="s">
        <v>683</v>
      </c>
      <c r="L583" s="17" t="s">
        <v>69</v>
      </c>
      <c r="M583" s="108" t="s">
        <v>3879</v>
      </c>
      <c r="N583" s="230" t="s">
        <v>3895</v>
      </c>
      <c r="O583" s="205" t="s">
        <v>972</v>
      </c>
    </row>
    <row r="584" spans="1:15" s="2" customFormat="1" x14ac:dyDescent="0.25">
      <c r="A584" s="107" t="s">
        <v>3866</v>
      </c>
      <c r="B584" s="208" t="s">
        <v>3867</v>
      </c>
      <c r="C584" s="252" t="s">
        <v>282</v>
      </c>
      <c r="D584" s="90">
        <v>57.50864</v>
      </c>
      <c r="E584" s="90">
        <v>18.14049</v>
      </c>
      <c r="F584" s="118">
        <f t="shared" si="20"/>
        <v>2695</v>
      </c>
      <c r="G584" s="27">
        <v>2810</v>
      </c>
      <c r="H584" s="112">
        <v>2580</v>
      </c>
      <c r="I584" s="97" t="s">
        <v>3871</v>
      </c>
      <c r="J584" s="40" t="s">
        <v>69</v>
      </c>
      <c r="K584" s="194" t="s">
        <v>683</v>
      </c>
      <c r="L584" s="17" t="s">
        <v>69</v>
      </c>
      <c r="M584" s="108" t="s">
        <v>3880</v>
      </c>
      <c r="N584" s="230" t="s">
        <v>3896</v>
      </c>
      <c r="O584" s="205" t="s">
        <v>972</v>
      </c>
    </row>
    <row r="585" spans="1:15" x14ac:dyDescent="0.25">
      <c r="A585" s="87" t="s">
        <v>3901</v>
      </c>
      <c r="B585" s="208" t="s">
        <v>682</v>
      </c>
      <c r="C585" s="252" t="s">
        <v>282</v>
      </c>
      <c r="D585" s="41">
        <v>55.844791999999998</v>
      </c>
      <c r="E585" s="41">
        <v>12.969467</v>
      </c>
      <c r="F585" s="118">
        <f>AVERAGE(G585:H585)</f>
        <v>3498</v>
      </c>
      <c r="G585" s="27">
        <v>3625</v>
      </c>
      <c r="H585" s="112">
        <v>3371</v>
      </c>
      <c r="I585" s="97" t="s">
        <v>18</v>
      </c>
      <c r="J585" s="40" t="s">
        <v>69</v>
      </c>
      <c r="K585" s="194" t="s">
        <v>683</v>
      </c>
      <c r="L585" s="17" t="s">
        <v>2</v>
      </c>
      <c r="M585" s="108" t="s">
        <v>684</v>
      </c>
      <c r="N585" s="239"/>
      <c r="O585" s="205"/>
    </row>
    <row r="586" spans="1:15" x14ac:dyDescent="0.25">
      <c r="A586" s="87" t="s">
        <v>3901</v>
      </c>
      <c r="B586" s="208" t="s">
        <v>682</v>
      </c>
      <c r="C586" s="252" t="s">
        <v>282</v>
      </c>
      <c r="D586" s="41">
        <v>55.844791999999998</v>
      </c>
      <c r="E586" s="41">
        <v>12.969467</v>
      </c>
      <c r="F586" s="118">
        <f>AVERAGE(G586:H586)</f>
        <v>3796</v>
      </c>
      <c r="G586" s="27">
        <v>3945</v>
      </c>
      <c r="H586" s="112">
        <v>3647</v>
      </c>
      <c r="I586" s="97" t="s">
        <v>7</v>
      </c>
      <c r="J586" s="40" t="s">
        <v>69</v>
      </c>
      <c r="K586" s="194" t="s">
        <v>683</v>
      </c>
      <c r="L586" s="17" t="s">
        <v>2</v>
      </c>
      <c r="M586" s="108" t="s">
        <v>685</v>
      </c>
      <c r="N586" s="239"/>
      <c r="O586" s="205"/>
    </row>
    <row r="587" spans="1:15" x14ac:dyDescent="0.25">
      <c r="A587" s="87" t="s">
        <v>3901</v>
      </c>
      <c r="B587" s="208" t="s">
        <v>682</v>
      </c>
      <c r="C587" s="252" t="s">
        <v>282</v>
      </c>
      <c r="D587" s="41">
        <v>55.844791999999998</v>
      </c>
      <c r="E587" s="41">
        <v>12.969467</v>
      </c>
      <c r="F587" s="242">
        <v>3600</v>
      </c>
      <c r="G587" s="241">
        <v>4000</v>
      </c>
      <c r="H587" s="241">
        <v>3200</v>
      </c>
      <c r="I587" s="203" t="s">
        <v>7</v>
      </c>
      <c r="J587" s="40" t="s">
        <v>69</v>
      </c>
      <c r="K587" s="194" t="s">
        <v>683</v>
      </c>
      <c r="L587" s="17" t="s">
        <v>2</v>
      </c>
      <c r="M587" s="608" t="s">
        <v>3904</v>
      </c>
      <c r="N587" s="647" t="s">
        <v>972</v>
      </c>
      <c r="O587" s="205" t="s">
        <v>3126</v>
      </c>
    </row>
    <row r="588" spans="1:15" x14ac:dyDescent="0.25">
      <c r="A588" s="87" t="s">
        <v>3901</v>
      </c>
      <c r="B588" s="208" t="s">
        <v>682</v>
      </c>
      <c r="C588" s="252" t="s">
        <v>282</v>
      </c>
      <c r="D588" s="41">
        <v>55.844791999999998</v>
      </c>
      <c r="E588" s="41">
        <v>12.969467</v>
      </c>
      <c r="F588" s="242">
        <v>3600</v>
      </c>
      <c r="G588" s="241">
        <v>4000</v>
      </c>
      <c r="H588" s="241">
        <v>3200</v>
      </c>
      <c r="I588" s="203" t="s">
        <v>7</v>
      </c>
      <c r="J588" s="40" t="s">
        <v>69</v>
      </c>
      <c r="K588" s="194" t="s">
        <v>683</v>
      </c>
      <c r="L588" s="17" t="s">
        <v>2</v>
      </c>
      <c r="M588" s="608" t="s">
        <v>3902</v>
      </c>
      <c r="O588" s="205" t="s">
        <v>3126</v>
      </c>
    </row>
    <row r="589" spans="1:15" ht="15.75" thickBot="1" x14ac:dyDescent="0.3">
      <c r="A589" s="87" t="s">
        <v>3901</v>
      </c>
      <c r="B589" s="208" t="s">
        <v>682</v>
      </c>
      <c r="C589" s="252" t="s">
        <v>282</v>
      </c>
      <c r="D589" s="41">
        <v>55.844791999999998</v>
      </c>
      <c r="E589" s="41">
        <v>12.969467</v>
      </c>
      <c r="F589" s="242">
        <v>3600</v>
      </c>
      <c r="G589" s="241">
        <v>4000</v>
      </c>
      <c r="H589" s="241">
        <v>3200</v>
      </c>
      <c r="I589" s="203" t="s">
        <v>7</v>
      </c>
      <c r="J589" s="40" t="s">
        <v>69</v>
      </c>
      <c r="K589" s="194" t="s">
        <v>683</v>
      </c>
      <c r="L589" s="17" t="s">
        <v>69</v>
      </c>
      <c r="M589" s="608" t="s">
        <v>3903</v>
      </c>
      <c r="O589" s="205" t="s">
        <v>3126</v>
      </c>
    </row>
    <row r="590" spans="1:15" ht="15.75" thickBot="1" x14ac:dyDescent="0.3">
      <c r="A590" s="87" t="s">
        <v>3898</v>
      </c>
      <c r="B590" s="238" t="s">
        <v>870</v>
      </c>
      <c r="C590" s="252" t="s">
        <v>282</v>
      </c>
      <c r="D590" s="41">
        <v>58.228999999999999</v>
      </c>
      <c r="E590" s="41">
        <v>13.6058</v>
      </c>
      <c r="F590" s="118">
        <f t="shared" ref="F590:F607" si="21">AVERAGE(G590:H590)</f>
        <v>3130</v>
      </c>
      <c r="G590" s="27">
        <v>3330</v>
      </c>
      <c r="H590" s="112">
        <v>2930</v>
      </c>
      <c r="I590" s="174" t="s">
        <v>430</v>
      </c>
      <c r="J590" s="40" t="s">
        <v>69</v>
      </c>
      <c r="K590" s="194" t="s">
        <v>683</v>
      </c>
      <c r="L590" s="17" t="s">
        <v>2</v>
      </c>
      <c r="M590" s="108" t="s">
        <v>873</v>
      </c>
      <c r="N590" s="230" t="s">
        <v>3885</v>
      </c>
      <c r="O590" s="205" t="s">
        <v>3887</v>
      </c>
    </row>
    <row r="591" spans="1:15" ht="15.75" thickBot="1" x14ac:dyDescent="0.3">
      <c r="A591" s="87" t="s">
        <v>869</v>
      </c>
      <c r="B591" s="238" t="s">
        <v>870</v>
      </c>
      <c r="C591" s="252" t="s">
        <v>282</v>
      </c>
      <c r="D591" s="41">
        <v>58.228999999999999</v>
      </c>
      <c r="E591" s="41">
        <v>13.6058</v>
      </c>
      <c r="F591" s="118">
        <f t="shared" si="21"/>
        <v>3005</v>
      </c>
      <c r="G591" s="27">
        <v>3090</v>
      </c>
      <c r="H591" s="112">
        <v>2920</v>
      </c>
      <c r="I591" s="97" t="s">
        <v>871</v>
      </c>
      <c r="J591" s="40" t="s">
        <v>872</v>
      </c>
      <c r="K591" s="194" t="s">
        <v>683</v>
      </c>
      <c r="L591" s="17" t="s">
        <v>14</v>
      </c>
      <c r="M591" s="108" t="s">
        <v>874</v>
      </c>
      <c r="N591" s="230" t="s">
        <v>3884</v>
      </c>
      <c r="O591" s="205" t="s">
        <v>3886</v>
      </c>
    </row>
    <row r="592" spans="1:15" ht="15.75" thickBot="1" x14ac:dyDescent="0.3">
      <c r="A592" s="328" t="s">
        <v>3931</v>
      </c>
      <c r="B592" s="238" t="s">
        <v>3950</v>
      </c>
      <c r="C592" s="252" t="s">
        <v>282</v>
      </c>
      <c r="D592" s="550">
        <v>58.229509999999998</v>
      </c>
      <c r="E592" s="550">
        <v>13.60576</v>
      </c>
      <c r="F592" s="116">
        <f t="shared" si="21"/>
        <v>2988</v>
      </c>
      <c r="G592" s="531">
        <v>3082</v>
      </c>
      <c r="H592" s="551">
        <v>2894</v>
      </c>
      <c r="I592" s="255" t="s">
        <v>2581</v>
      </c>
      <c r="J592" s="40" t="s">
        <v>69</v>
      </c>
      <c r="K592" s="609" t="s">
        <v>3934</v>
      </c>
      <c r="L592" s="610" t="s">
        <v>2</v>
      </c>
      <c r="N592" s="648" t="s">
        <v>3936</v>
      </c>
      <c r="O592" s="238"/>
    </row>
    <row r="593" spans="1:15" x14ac:dyDescent="0.25">
      <c r="A593" s="328" t="s">
        <v>3931</v>
      </c>
      <c r="B593" s="238" t="s">
        <v>3950</v>
      </c>
      <c r="C593" s="252" t="s">
        <v>282</v>
      </c>
      <c r="D593" s="550">
        <v>58.229509999999998</v>
      </c>
      <c r="E593" s="550">
        <v>13.60576</v>
      </c>
      <c r="F593" s="116">
        <f t="shared" si="21"/>
        <v>3185</v>
      </c>
      <c r="G593" s="531">
        <v>3342</v>
      </c>
      <c r="H593" s="551">
        <v>3028</v>
      </c>
      <c r="I593" s="254" t="s">
        <v>1562</v>
      </c>
      <c r="J593" s="40" t="s">
        <v>69</v>
      </c>
      <c r="K593" s="609" t="s">
        <v>3934</v>
      </c>
      <c r="L593" s="610" t="s">
        <v>2</v>
      </c>
      <c r="N593" s="648" t="s">
        <v>3937</v>
      </c>
      <c r="O593" s="238"/>
    </row>
    <row r="594" spans="1:15" x14ac:dyDescent="0.25">
      <c r="A594" s="328" t="s">
        <v>3931</v>
      </c>
      <c r="B594" s="238" t="s">
        <v>3950</v>
      </c>
      <c r="C594" s="252" t="s">
        <v>282</v>
      </c>
      <c r="D594" s="550">
        <v>58.229509999999998</v>
      </c>
      <c r="E594" s="550">
        <v>13.60576</v>
      </c>
      <c r="F594" s="116">
        <f t="shared" si="21"/>
        <v>3190</v>
      </c>
      <c r="G594" s="531">
        <v>3347</v>
      </c>
      <c r="H594" s="551">
        <v>3033</v>
      </c>
      <c r="I594" s="254" t="s">
        <v>1562</v>
      </c>
      <c r="J594" s="40" t="s">
        <v>69</v>
      </c>
      <c r="K594" s="609" t="s">
        <v>3934</v>
      </c>
      <c r="L594" s="610" t="s">
        <v>2</v>
      </c>
      <c r="N594" s="648" t="s">
        <v>3938</v>
      </c>
      <c r="O594" s="238"/>
    </row>
    <row r="595" spans="1:15" x14ac:dyDescent="0.25">
      <c r="A595" s="328" t="s">
        <v>3931</v>
      </c>
      <c r="B595" s="238" t="s">
        <v>3950</v>
      </c>
      <c r="C595" s="252" t="s">
        <v>282</v>
      </c>
      <c r="D595" s="550">
        <v>58.229509999999998</v>
      </c>
      <c r="E595" s="550">
        <v>13.60576</v>
      </c>
      <c r="F595" s="116">
        <f t="shared" si="21"/>
        <v>3125.5</v>
      </c>
      <c r="G595" s="531">
        <v>3331</v>
      </c>
      <c r="H595" s="551">
        <v>2920</v>
      </c>
      <c r="I595" s="254" t="s">
        <v>1562</v>
      </c>
      <c r="J595" s="40" t="s">
        <v>69</v>
      </c>
      <c r="K595" s="609" t="s">
        <v>3934</v>
      </c>
      <c r="L595" s="610" t="s">
        <v>14</v>
      </c>
      <c r="N595" s="648" t="s">
        <v>3939</v>
      </c>
      <c r="O595" s="238"/>
    </row>
    <row r="596" spans="1:15" ht="14.45" customHeight="1" thickBot="1" x14ac:dyDescent="0.3">
      <c r="A596" s="328" t="s">
        <v>3931</v>
      </c>
      <c r="B596" s="238" t="s">
        <v>3950</v>
      </c>
      <c r="C596" s="252" t="s">
        <v>282</v>
      </c>
      <c r="D596" s="550">
        <v>58.229509999999998</v>
      </c>
      <c r="E596" s="550">
        <v>13.60576</v>
      </c>
      <c r="F596" s="116">
        <f t="shared" si="21"/>
        <v>2770</v>
      </c>
      <c r="G596" s="531">
        <v>2904</v>
      </c>
      <c r="H596" s="551">
        <v>2636</v>
      </c>
      <c r="I596" s="254" t="s">
        <v>622</v>
      </c>
      <c r="J596" s="40" t="s">
        <v>69</v>
      </c>
      <c r="K596" s="611" t="s">
        <v>3945</v>
      </c>
      <c r="L596" s="610" t="s">
        <v>14</v>
      </c>
      <c r="N596" s="648" t="s">
        <v>3940</v>
      </c>
      <c r="O596" s="238"/>
    </row>
    <row r="597" spans="1:15" ht="15.6" customHeight="1" thickBot="1" x14ac:dyDescent="0.3">
      <c r="A597" s="328" t="s">
        <v>3931</v>
      </c>
      <c r="B597" s="238" t="s">
        <v>3950</v>
      </c>
      <c r="C597" s="252" t="s">
        <v>282</v>
      </c>
      <c r="D597" s="550">
        <v>58.229509999999998</v>
      </c>
      <c r="E597" s="550">
        <v>13.60576</v>
      </c>
      <c r="F597" s="116">
        <f t="shared" si="21"/>
        <v>2752.5</v>
      </c>
      <c r="G597" s="531">
        <v>2878</v>
      </c>
      <c r="H597" s="551">
        <v>2627</v>
      </c>
      <c r="I597" s="255" t="s">
        <v>3944</v>
      </c>
      <c r="J597" s="40" t="s">
        <v>69</v>
      </c>
      <c r="K597" s="611" t="s">
        <v>3945</v>
      </c>
      <c r="L597" s="610" t="s">
        <v>2</v>
      </c>
      <c r="N597" s="648" t="s">
        <v>3941</v>
      </c>
      <c r="O597" s="238"/>
    </row>
    <row r="598" spans="1:15" ht="15.75" thickBot="1" x14ac:dyDescent="0.3">
      <c r="A598" s="328" t="s">
        <v>3931</v>
      </c>
      <c r="B598" s="238" t="s">
        <v>3950</v>
      </c>
      <c r="C598" s="252" t="s">
        <v>282</v>
      </c>
      <c r="D598" s="550">
        <v>58.229509999999998</v>
      </c>
      <c r="E598" s="550">
        <v>13.60576</v>
      </c>
      <c r="F598" s="116">
        <f t="shared" si="21"/>
        <v>3233.5</v>
      </c>
      <c r="G598" s="531">
        <v>3365</v>
      </c>
      <c r="H598" s="551">
        <v>3102</v>
      </c>
      <c r="I598" s="254" t="s">
        <v>503</v>
      </c>
      <c r="J598" s="40" t="s">
        <v>69</v>
      </c>
      <c r="K598" s="609" t="s">
        <v>3934</v>
      </c>
      <c r="L598" s="610" t="s">
        <v>14</v>
      </c>
      <c r="N598" s="648" t="s">
        <v>3942</v>
      </c>
      <c r="O598" s="238"/>
    </row>
    <row r="599" spans="1:15" ht="15.75" thickBot="1" x14ac:dyDescent="0.3">
      <c r="A599" s="328" t="s">
        <v>3931</v>
      </c>
      <c r="B599" s="238" t="s">
        <v>3950</v>
      </c>
      <c r="C599" s="252" t="s">
        <v>282</v>
      </c>
      <c r="D599" s="550">
        <v>58.229509999999998</v>
      </c>
      <c r="E599" s="550">
        <v>13.60576</v>
      </c>
      <c r="F599" s="116">
        <f t="shared" si="21"/>
        <v>3185.5</v>
      </c>
      <c r="G599" s="531">
        <v>3356</v>
      </c>
      <c r="H599" s="551">
        <v>3015</v>
      </c>
      <c r="I599" s="255" t="s">
        <v>481</v>
      </c>
      <c r="J599" s="40" t="s">
        <v>69</v>
      </c>
      <c r="K599" s="609" t="s">
        <v>3934</v>
      </c>
      <c r="L599" s="610" t="s">
        <v>2</v>
      </c>
      <c r="N599" s="648" t="s">
        <v>3943</v>
      </c>
      <c r="O599" s="238"/>
    </row>
    <row r="600" spans="1:15" x14ac:dyDescent="0.25">
      <c r="A600" s="328" t="s">
        <v>3931</v>
      </c>
      <c r="B600" s="238" t="s">
        <v>3950</v>
      </c>
      <c r="C600" s="252" t="s">
        <v>282</v>
      </c>
      <c r="D600" s="550">
        <v>58.229509999999998</v>
      </c>
      <c r="E600" s="550">
        <v>13.60576</v>
      </c>
      <c r="F600" s="116">
        <f t="shared" si="21"/>
        <v>3126</v>
      </c>
      <c r="G600" s="531">
        <v>3326</v>
      </c>
      <c r="H600" s="551">
        <v>2926</v>
      </c>
      <c r="I600" s="254" t="s">
        <v>503</v>
      </c>
      <c r="J600" s="40" t="s">
        <v>69</v>
      </c>
      <c r="K600" s="609" t="s">
        <v>3934</v>
      </c>
      <c r="L600" s="17" t="s">
        <v>14</v>
      </c>
      <c r="N600" s="230" t="s">
        <v>3946</v>
      </c>
      <c r="O600" s="205"/>
    </row>
    <row r="601" spans="1:15" x14ac:dyDescent="0.25">
      <c r="A601" s="328" t="s">
        <v>3931</v>
      </c>
      <c r="B601" s="238" t="s">
        <v>3950</v>
      </c>
      <c r="C601" s="252" t="s">
        <v>282</v>
      </c>
      <c r="D601" s="550">
        <v>58.229509999999998</v>
      </c>
      <c r="E601" s="550">
        <v>13.60576</v>
      </c>
      <c r="F601" s="116">
        <f t="shared" si="21"/>
        <v>3182.5</v>
      </c>
      <c r="G601" s="531">
        <v>3339</v>
      </c>
      <c r="H601" s="551">
        <v>3026</v>
      </c>
      <c r="I601" s="254" t="s">
        <v>503</v>
      </c>
      <c r="J601" s="40" t="s">
        <v>69</v>
      </c>
      <c r="K601" s="609" t="s">
        <v>3934</v>
      </c>
      <c r="L601" s="17" t="s">
        <v>14</v>
      </c>
      <c r="N601" s="230" t="s">
        <v>3947</v>
      </c>
      <c r="O601" s="205"/>
    </row>
    <row r="602" spans="1:15" x14ac:dyDescent="0.25">
      <c r="A602" s="328" t="s">
        <v>3931</v>
      </c>
      <c r="B602" s="238" t="s">
        <v>3950</v>
      </c>
      <c r="C602" s="252" t="s">
        <v>282</v>
      </c>
      <c r="D602" s="550">
        <v>58.229509999999998</v>
      </c>
      <c r="E602" s="550">
        <v>13.60576</v>
      </c>
      <c r="F602" s="116">
        <f t="shared" si="21"/>
        <v>3126</v>
      </c>
      <c r="G602" s="531">
        <v>3326</v>
      </c>
      <c r="H602" s="551">
        <v>2926</v>
      </c>
      <c r="I602" s="254" t="s">
        <v>18</v>
      </c>
      <c r="J602" s="40" t="s">
        <v>69</v>
      </c>
      <c r="K602" s="609" t="s">
        <v>3934</v>
      </c>
      <c r="L602" s="17" t="s">
        <v>14</v>
      </c>
      <c r="N602" s="230" t="s">
        <v>3948</v>
      </c>
      <c r="O602" s="205"/>
    </row>
    <row r="603" spans="1:15" x14ac:dyDescent="0.25">
      <c r="A603" s="328" t="s">
        <v>3931</v>
      </c>
      <c r="B603" s="238" t="s">
        <v>3950</v>
      </c>
      <c r="C603" s="252" t="s">
        <v>282</v>
      </c>
      <c r="D603" s="550">
        <v>58.229509999999998</v>
      </c>
      <c r="E603" s="550">
        <v>13.60576</v>
      </c>
      <c r="F603" s="116">
        <f t="shared" si="21"/>
        <v>3005</v>
      </c>
      <c r="G603" s="531">
        <v>3092</v>
      </c>
      <c r="H603" s="551">
        <v>2918</v>
      </c>
      <c r="I603" s="254" t="s">
        <v>287</v>
      </c>
      <c r="J603" s="40" t="s">
        <v>69</v>
      </c>
      <c r="K603" s="609" t="s">
        <v>3934</v>
      </c>
      <c r="L603" s="17" t="s">
        <v>2</v>
      </c>
      <c r="N603" s="230" t="s">
        <v>3949</v>
      </c>
      <c r="O603" s="205"/>
    </row>
    <row r="604" spans="1:15" ht="15.75" thickBot="1" x14ac:dyDescent="0.3">
      <c r="A604" s="328" t="s">
        <v>3931</v>
      </c>
      <c r="B604" s="238" t="s">
        <v>3951</v>
      </c>
      <c r="C604" s="252" t="s">
        <v>282</v>
      </c>
      <c r="D604" s="550">
        <v>58.229509999999998</v>
      </c>
      <c r="E604" s="550">
        <v>13.60576</v>
      </c>
      <c r="F604" s="116">
        <f t="shared" si="21"/>
        <v>3118.5</v>
      </c>
      <c r="G604" s="531">
        <v>3316</v>
      </c>
      <c r="H604" s="531">
        <v>2921</v>
      </c>
      <c r="I604" s="254" t="s">
        <v>7</v>
      </c>
      <c r="J604" s="40" t="s">
        <v>69</v>
      </c>
      <c r="K604" s="609" t="s">
        <v>3934</v>
      </c>
      <c r="L604" s="17" t="s">
        <v>2</v>
      </c>
      <c r="N604" s="648" t="s">
        <v>3954</v>
      </c>
      <c r="O604" s="205"/>
    </row>
    <row r="605" spans="1:15" ht="15.75" thickBot="1" x14ac:dyDescent="0.3">
      <c r="A605" s="328" t="s">
        <v>3931</v>
      </c>
      <c r="B605" s="238" t="s">
        <v>3952</v>
      </c>
      <c r="C605" s="252" t="s">
        <v>282</v>
      </c>
      <c r="D605" s="550">
        <v>58.229509999999998</v>
      </c>
      <c r="E605" s="550">
        <v>13.60576</v>
      </c>
      <c r="F605" s="116">
        <f t="shared" si="21"/>
        <v>3174</v>
      </c>
      <c r="G605" s="531">
        <v>3336</v>
      </c>
      <c r="H605" s="531">
        <v>3012</v>
      </c>
      <c r="I605" s="255" t="s">
        <v>2581</v>
      </c>
      <c r="J605" s="40" t="s">
        <v>69</v>
      </c>
      <c r="K605" s="609" t="s">
        <v>3934</v>
      </c>
      <c r="L605" s="17" t="s">
        <v>2</v>
      </c>
      <c r="N605" s="648" t="s">
        <v>3955</v>
      </c>
      <c r="O605" s="205"/>
    </row>
    <row r="606" spans="1:15" ht="15.75" thickBot="1" x14ac:dyDescent="0.3">
      <c r="A606" s="328" t="s">
        <v>3931</v>
      </c>
      <c r="B606" s="238" t="s">
        <v>3953</v>
      </c>
      <c r="C606" s="252" t="s">
        <v>282</v>
      </c>
      <c r="D606" s="550">
        <v>58.229509999999998</v>
      </c>
      <c r="E606" s="550">
        <v>13.60576</v>
      </c>
      <c r="F606" s="116">
        <f t="shared" si="21"/>
        <v>3228.5</v>
      </c>
      <c r="G606" s="531">
        <v>3336</v>
      </c>
      <c r="H606" s="531">
        <v>3121</v>
      </c>
      <c r="I606" s="255" t="s">
        <v>2581</v>
      </c>
      <c r="J606" s="40" t="s">
        <v>69</v>
      </c>
      <c r="K606" s="609" t="s">
        <v>3934</v>
      </c>
      <c r="L606" s="17" t="s">
        <v>14</v>
      </c>
      <c r="N606" s="648" t="s">
        <v>3956</v>
      </c>
      <c r="O606" s="205"/>
    </row>
    <row r="607" spans="1:15" x14ac:dyDescent="0.25">
      <c r="A607" s="328" t="s">
        <v>3931</v>
      </c>
      <c r="B607" s="238" t="s">
        <v>3933</v>
      </c>
      <c r="C607" s="252" t="s">
        <v>282</v>
      </c>
      <c r="D607" s="550">
        <v>58.14038</v>
      </c>
      <c r="E607" s="550">
        <v>13.520580000000001</v>
      </c>
      <c r="F607" s="118">
        <f t="shared" si="21"/>
        <v>3181</v>
      </c>
      <c r="G607" s="551">
        <v>3339</v>
      </c>
      <c r="H607" s="551">
        <v>3023</v>
      </c>
      <c r="I607" s="97" t="s">
        <v>829</v>
      </c>
      <c r="J607" s="40" t="s">
        <v>69</v>
      </c>
      <c r="K607" s="417" t="s">
        <v>3934</v>
      </c>
      <c r="L607" s="17" t="s">
        <v>2</v>
      </c>
      <c r="N607" s="230" t="s">
        <v>3935</v>
      </c>
      <c r="O607" s="205"/>
    </row>
    <row r="608" spans="1:15" s="2" customFormat="1" x14ac:dyDescent="0.25">
      <c r="A608" s="87" t="s">
        <v>2504</v>
      </c>
      <c r="B608" s="208" t="s">
        <v>2529</v>
      </c>
      <c r="C608" s="252" t="s">
        <v>282</v>
      </c>
      <c r="D608" s="539">
        <v>55.588000000000001</v>
      </c>
      <c r="E608" s="539">
        <v>13.113</v>
      </c>
      <c r="F608" s="540">
        <v>3613.5</v>
      </c>
      <c r="G608" s="539">
        <v>3700</v>
      </c>
      <c r="H608" s="539">
        <v>3527</v>
      </c>
      <c r="I608" s="132" t="s">
        <v>7</v>
      </c>
      <c r="J608" s="598" t="s">
        <v>69</v>
      </c>
      <c r="K608" s="194" t="s">
        <v>3900</v>
      </c>
      <c r="L608" s="17" t="s">
        <v>2</v>
      </c>
      <c r="M608" s="600" t="s">
        <v>2527</v>
      </c>
      <c r="N608" s="230" t="s">
        <v>2528</v>
      </c>
      <c r="O608" s="205" t="s">
        <v>972</v>
      </c>
    </row>
    <row r="609" spans="1:15" s="2" customFormat="1" x14ac:dyDescent="0.25">
      <c r="A609" s="87" t="s">
        <v>2504</v>
      </c>
      <c r="B609" s="538" t="s">
        <v>2543</v>
      </c>
      <c r="C609" s="389" t="s">
        <v>282</v>
      </c>
      <c r="D609" s="539">
        <v>58.246000000000002</v>
      </c>
      <c r="E609" s="539">
        <v>11.492000000000001</v>
      </c>
      <c r="F609" s="540">
        <v>3872</v>
      </c>
      <c r="G609" s="539">
        <v>3963</v>
      </c>
      <c r="H609" s="539">
        <v>3781</v>
      </c>
      <c r="I609" s="132" t="s">
        <v>184</v>
      </c>
      <c r="J609" s="598" t="s">
        <v>1063</v>
      </c>
      <c r="K609" s="417" t="s">
        <v>2513</v>
      </c>
      <c r="L609" s="17" t="s">
        <v>14</v>
      </c>
      <c r="M609" s="600" t="s">
        <v>2541</v>
      </c>
      <c r="N609" s="209" t="s">
        <v>2542</v>
      </c>
      <c r="O609" s="205" t="s">
        <v>972</v>
      </c>
    </row>
    <row r="610" spans="1:15" s="2" customFormat="1" x14ac:dyDescent="0.25">
      <c r="A610" s="328" t="s">
        <v>2504</v>
      </c>
      <c r="B610" s="208" t="s">
        <v>2507</v>
      </c>
      <c r="C610" s="252" t="s">
        <v>1336</v>
      </c>
      <c r="D610" s="539">
        <v>55.761000000000003</v>
      </c>
      <c r="E610" s="539">
        <v>12.257999999999999</v>
      </c>
      <c r="F610" s="540">
        <v>3290</v>
      </c>
      <c r="G610" s="539">
        <v>3651</v>
      </c>
      <c r="H610" s="539">
        <v>2929</v>
      </c>
      <c r="I610" s="132" t="s">
        <v>18</v>
      </c>
      <c r="J610" s="598" t="s">
        <v>863</v>
      </c>
      <c r="K610" s="417" t="s">
        <v>2508</v>
      </c>
      <c r="L610" s="17" t="s">
        <v>14</v>
      </c>
      <c r="M610" s="600" t="s">
        <v>2521</v>
      </c>
      <c r="N610" s="230" t="s">
        <v>69</v>
      </c>
      <c r="O610" s="206"/>
    </row>
    <row r="611" spans="1:15" s="2" customFormat="1" x14ac:dyDescent="0.25">
      <c r="A611" s="328" t="s">
        <v>2504</v>
      </c>
      <c r="B611" s="208" t="s">
        <v>2510</v>
      </c>
      <c r="C611" s="252" t="s">
        <v>1336</v>
      </c>
      <c r="D611" s="539">
        <v>55.600999999999999</v>
      </c>
      <c r="E611" s="539">
        <v>11.311999999999999</v>
      </c>
      <c r="F611" s="540">
        <v>3585.5</v>
      </c>
      <c r="G611" s="552">
        <v>3643</v>
      </c>
      <c r="H611" s="539">
        <v>3528</v>
      </c>
      <c r="I611" s="132" t="s">
        <v>2511</v>
      </c>
      <c r="J611" s="598" t="s">
        <v>2512</v>
      </c>
      <c r="K611" s="330" t="s">
        <v>2560</v>
      </c>
      <c r="L611" s="17" t="s">
        <v>14</v>
      </c>
      <c r="M611" s="600" t="s">
        <v>2522</v>
      </c>
      <c r="N611" s="230" t="s">
        <v>2509</v>
      </c>
      <c r="O611" s="206"/>
    </row>
    <row r="612" spans="1:15" s="2" customFormat="1" x14ac:dyDescent="0.25">
      <c r="A612" s="328" t="s">
        <v>2504</v>
      </c>
      <c r="B612" s="208" t="s">
        <v>2516</v>
      </c>
      <c r="C612" s="252" t="s">
        <v>1336</v>
      </c>
      <c r="D612" s="539">
        <v>55.91</v>
      </c>
      <c r="E612" s="539">
        <v>12.307</v>
      </c>
      <c r="F612" s="540">
        <v>3510.5</v>
      </c>
      <c r="G612" s="539">
        <v>3635</v>
      </c>
      <c r="H612" s="539">
        <v>3386</v>
      </c>
      <c r="I612" s="132" t="s">
        <v>2519</v>
      </c>
      <c r="J612" s="598" t="s">
        <v>2512</v>
      </c>
      <c r="K612" s="417" t="s">
        <v>2513</v>
      </c>
      <c r="L612" s="17" t="s">
        <v>14</v>
      </c>
      <c r="M612" s="600" t="s">
        <v>2514</v>
      </c>
      <c r="N612" s="230" t="s">
        <v>2515</v>
      </c>
      <c r="O612" s="206"/>
    </row>
    <row r="613" spans="1:15" s="2" customFormat="1" x14ac:dyDescent="0.25">
      <c r="A613" s="328" t="s">
        <v>2504</v>
      </c>
      <c r="B613" s="208" t="s">
        <v>2518</v>
      </c>
      <c r="C613" s="252" t="s">
        <v>1336</v>
      </c>
      <c r="D613" s="539">
        <v>55.134</v>
      </c>
      <c r="E613" s="539">
        <v>10.903</v>
      </c>
      <c r="F613" s="540">
        <v>3609</v>
      </c>
      <c r="G613" s="539">
        <v>3697</v>
      </c>
      <c r="H613" s="539">
        <v>3521</v>
      </c>
      <c r="I613" s="132" t="s">
        <v>18</v>
      </c>
      <c r="J613" s="598" t="s">
        <v>69</v>
      </c>
      <c r="K613" s="417" t="s">
        <v>2513</v>
      </c>
      <c r="L613" s="17" t="s">
        <v>2</v>
      </c>
      <c r="M613" s="600" t="s">
        <v>2517</v>
      </c>
      <c r="N613" s="230" t="s">
        <v>2520</v>
      </c>
      <c r="O613" s="206"/>
    </row>
    <row r="614" spans="1:15" s="2" customFormat="1" x14ac:dyDescent="0.25">
      <c r="A614" s="328" t="s">
        <v>2504</v>
      </c>
      <c r="B614" s="208" t="s">
        <v>2525</v>
      </c>
      <c r="C614" s="252" t="s">
        <v>1336</v>
      </c>
      <c r="D614" s="539">
        <v>55.994</v>
      </c>
      <c r="E614" s="539">
        <v>10.247999999999999</v>
      </c>
      <c r="F614" s="540">
        <v>3581</v>
      </c>
      <c r="G614" s="539">
        <v>3638</v>
      </c>
      <c r="H614" s="539">
        <v>3524</v>
      </c>
      <c r="I614" s="132" t="s">
        <v>2526</v>
      </c>
      <c r="J614" s="598" t="s">
        <v>80</v>
      </c>
      <c r="K614" s="417" t="s">
        <v>2513</v>
      </c>
      <c r="L614" s="17" t="s">
        <v>14</v>
      </c>
      <c r="M614" s="600" t="s">
        <v>2523</v>
      </c>
      <c r="N614" s="209" t="s">
        <v>2524</v>
      </c>
      <c r="O614" s="206"/>
    </row>
    <row r="615" spans="1:15" s="2" customFormat="1" x14ac:dyDescent="0.25">
      <c r="A615" s="328" t="s">
        <v>2504</v>
      </c>
      <c r="B615" s="538" t="s">
        <v>2548</v>
      </c>
      <c r="C615" s="252" t="s">
        <v>1336</v>
      </c>
      <c r="D615" s="541">
        <v>55.875</v>
      </c>
      <c r="E615" s="541">
        <v>9.8119999999999994</v>
      </c>
      <c r="F615" s="540">
        <v>3584.5</v>
      </c>
      <c r="G615" s="539">
        <v>3644</v>
      </c>
      <c r="H615" s="539">
        <v>3525</v>
      </c>
      <c r="I615" s="132" t="s">
        <v>2550</v>
      </c>
      <c r="J615" s="598" t="s">
        <v>2512</v>
      </c>
      <c r="K615" s="417" t="s">
        <v>2513</v>
      </c>
      <c r="L615" s="17" t="s">
        <v>14</v>
      </c>
      <c r="M615" s="600" t="s">
        <v>2544</v>
      </c>
      <c r="N615" s="209" t="s">
        <v>2545</v>
      </c>
      <c r="O615" s="206"/>
    </row>
    <row r="616" spans="1:15" s="2" customFormat="1" x14ac:dyDescent="0.25">
      <c r="A616" s="328" t="s">
        <v>2504</v>
      </c>
      <c r="B616" s="538" t="s">
        <v>2549</v>
      </c>
      <c r="C616" s="252" t="s">
        <v>1336</v>
      </c>
      <c r="D616" s="541">
        <v>55.484000000000002</v>
      </c>
      <c r="E616" s="541">
        <v>11.579000000000001</v>
      </c>
      <c r="F616" s="540">
        <v>3184.5</v>
      </c>
      <c r="G616" s="539">
        <v>3341</v>
      </c>
      <c r="H616" s="539">
        <v>3028</v>
      </c>
      <c r="I616" s="132" t="s">
        <v>1562</v>
      </c>
      <c r="J616" s="598" t="s">
        <v>2512</v>
      </c>
      <c r="K616" s="417" t="s">
        <v>2513</v>
      </c>
      <c r="L616" s="17" t="s">
        <v>14</v>
      </c>
      <c r="M616" s="600" t="s">
        <v>2546</v>
      </c>
      <c r="N616" s="209" t="s">
        <v>2547</v>
      </c>
      <c r="O616" s="206"/>
    </row>
    <row r="617" spans="1:15" s="2" customFormat="1" x14ac:dyDescent="0.25">
      <c r="A617" s="328" t="s">
        <v>2504</v>
      </c>
      <c r="B617" s="208" t="s">
        <v>2553</v>
      </c>
      <c r="C617" s="252" t="s">
        <v>1336</v>
      </c>
      <c r="D617" s="539">
        <v>55.404000000000003</v>
      </c>
      <c r="E617" s="539">
        <v>11.497</v>
      </c>
      <c r="F617" s="540">
        <v>3584.5</v>
      </c>
      <c r="G617" s="539">
        <v>3644</v>
      </c>
      <c r="H617" s="539">
        <v>3525</v>
      </c>
      <c r="I617" s="132" t="s">
        <v>2314</v>
      </c>
      <c r="J617" s="598" t="s">
        <v>69</v>
      </c>
      <c r="K617" s="417" t="s">
        <v>2513</v>
      </c>
      <c r="L617" s="17" t="s">
        <v>2</v>
      </c>
      <c r="M617" s="600" t="s">
        <v>2551</v>
      </c>
      <c r="N617" s="209" t="s">
        <v>2552</v>
      </c>
      <c r="O617" s="206"/>
    </row>
    <row r="618" spans="1:15" s="2" customFormat="1" ht="15.75" thickBot="1" x14ac:dyDescent="0.3">
      <c r="A618" s="328" t="s">
        <v>2504</v>
      </c>
      <c r="B618" s="208" t="s">
        <v>2556</v>
      </c>
      <c r="C618" s="252" t="s">
        <v>1336</v>
      </c>
      <c r="D618" s="539">
        <v>55.789000000000001</v>
      </c>
      <c r="E618" s="539">
        <v>11.292</v>
      </c>
      <c r="F618" s="540">
        <v>3594.5</v>
      </c>
      <c r="G618" s="539">
        <v>3651</v>
      </c>
      <c r="H618" s="539">
        <v>3538</v>
      </c>
      <c r="I618" s="132" t="s">
        <v>38</v>
      </c>
      <c r="J618" s="598" t="s">
        <v>2512</v>
      </c>
      <c r="K618" s="417" t="s">
        <v>2513</v>
      </c>
      <c r="L618" s="17" t="s">
        <v>14</v>
      </c>
      <c r="M618" s="600" t="s">
        <v>2554</v>
      </c>
      <c r="N618" s="209" t="s">
        <v>2555</v>
      </c>
      <c r="O618" s="206"/>
    </row>
    <row r="619" spans="1:15" s="2" customFormat="1" ht="15.75" thickBot="1" x14ac:dyDescent="0.3">
      <c r="A619" s="328" t="s">
        <v>2504</v>
      </c>
      <c r="B619" s="208" t="s">
        <v>2559</v>
      </c>
      <c r="C619" s="252" t="s">
        <v>1336</v>
      </c>
      <c r="D619" s="539">
        <v>55.759</v>
      </c>
      <c r="E619" s="539">
        <v>12.238</v>
      </c>
      <c r="F619" s="540">
        <v>3857</v>
      </c>
      <c r="G619" s="539">
        <v>3946</v>
      </c>
      <c r="H619" s="539">
        <v>3768</v>
      </c>
      <c r="I619" s="221" t="s">
        <v>915</v>
      </c>
      <c r="J619" s="598" t="s">
        <v>69</v>
      </c>
      <c r="K619" s="417" t="s">
        <v>2513</v>
      </c>
      <c r="L619" s="17" t="s">
        <v>2</v>
      </c>
      <c r="M619" s="600" t="s">
        <v>2557</v>
      </c>
      <c r="N619" s="209" t="s">
        <v>2558</v>
      </c>
      <c r="O619" s="206"/>
    </row>
    <row r="620" spans="1:15" s="2" customFormat="1" ht="15.75" thickBot="1" x14ac:dyDescent="0.3">
      <c r="A620" s="328" t="s">
        <v>2504</v>
      </c>
      <c r="B620" s="208" t="s">
        <v>2580</v>
      </c>
      <c r="C620" s="252" t="s">
        <v>1336</v>
      </c>
      <c r="D620" s="539">
        <v>55.914000000000001</v>
      </c>
      <c r="E620" s="539">
        <v>11.090999999999999</v>
      </c>
      <c r="F620" s="540">
        <v>3885.5</v>
      </c>
      <c r="G620" s="539">
        <v>3966</v>
      </c>
      <c r="H620" s="539">
        <v>3805</v>
      </c>
      <c r="I620" s="221" t="s">
        <v>2581</v>
      </c>
      <c r="J620" s="598" t="s">
        <v>1063</v>
      </c>
      <c r="K620" s="417" t="s">
        <v>2513</v>
      </c>
      <c r="L620" s="17" t="s">
        <v>14</v>
      </c>
      <c r="M620" s="600" t="s">
        <v>2578</v>
      </c>
      <c r="N620" s="209" t="s">
        <v>2579</v>
      </c>
      <c r="O620" s="206"/>
    </row>
    <row r="621" spans="1:15" s="2" customFormat="1" ht="15.75" thickBot="1" x14ac:dyDescent="0.3">
      <c r="A621" s="328" t="s">
        <v>2504</v>
      </c>
      <c r="B621" s="208" t="s">
        <v>2587</v>
      </c>
      <c r="C621" s="252" t="s">
        <v>1336</v>
      </c>
      <c r="D621" s="539">
        <v>55.828000000000003</v>
      </c>
      <c r="E621" s="539">
        <v>12.166</v>
      </c>
      <c r="F621" s="540">
        <v>3320.5</v>
      </c>
      <c r="G621" s="539">
        <v>3520</v>
      </c>
      <c r="H621" s="539">
        <v>3121</v>
      </c>
      <c r="I621" s="221" t="s">
        <v>2588</v>
      </c>
      <c r="J621" s="598" t="s">
        <v>80</v>
      </c>
      <c r="K621" s="417" t="s">
        <v>2508</v>
      </c>
      <c r="L621" s="17" t="s">
        <v>14</v>
      </c>
      <c r="M621" s="600" t="s">
        <v>2585</v>
      </c>
      <c r="N621" s="209" t="s">
        <v>2586</v>
      </c>
      <c r="O621" s="206"/>
    </row>
    <row r="622" spans="1:15" s="2" customFormat="1" ht="15.75" thickBot="1" x14ac:dyDescent="0.3">
      <c r="A622" s="328" t="s">
        <v>2504</v>
      </c>
      <c r="B622" s="208" t="s">
        <v>2593</v>
      </c>
      <c r="C622" s="252" t="s">
        <v>1336</v>
      </c>
      <c r="D622" s="539">
        <v>55.856000000000002</v>
      </c>
      <c r="E622" s="539">
        <v>11.59</v>
      </c>
      <c r="F622" s="540">
        <v>3413</v>
      </c>
      <c r="G622" s="539">
        <v>3626</v>
      </c>
      <c r="H622" s="539">
        <v>3200</v>
      </c>
      <c r="I622" s="221" t="s">
        <v>168</v>
      </c>
      <c r="J622" s="598" t="s">
        <v>2594</v>
      </c>
      <c r="K622" s="417" t="s">
        <v>2513</v>
      </c>
      <c r="L622" s="17" t="s">
        <v>14</v>
      </c>
      <c r="M622" s="600" t="s">
        <v>2591</v>
      </c>
      <c r="N622" s="209" t="s">
        <v>2592</v>
      </c>
      <c r="O622" s="206"/>
    </row>
    <row r="623" spans="1:15" s="2" customFormat="1" x14ac:dyDescent="0.25">
      <c r="A623" s="328" t="s">
        <v>2504</v>
      </c>
      <c r="B623" s="538" t="s">
        <v>2599</v>
      </c>
      <c r="C623" s="252" t="s">
        <v>1336</v>
      </c>
      <c r="D623" s="539">
        <v>55.771999999999998</v>
      </c>
      <c r="E623" s="539">
        <v>12.212999999999999</v>
      </c>
      <c r="F623" s="540">
        <v>3582.5</v>
      </c>
      <c r="G623" s="539">
        <v>3639</v>
      </c>
      <c r="H623" s="539">
        <v>3526</v>
      </c>
      <c r="I623" s="132" t="s">
        <v>38</v>
      </c>
      <c r="J623" s="598" t="s">
        <v>69</v>
      </c>
      <c r="K623" s="417" t="s">
        <v>2513</v>
      </c>
      <c r="L623" s="17" t="s">
        <v>2</v>
      </c>
      <c r="M623" s="600" t="s">
        <v>2595</v>
      </c>
      <c r="N623" s="209" t="s">
        <v>2596</v>
      </c>
      <c r="O623" s="206"/>
    </row>
    <row r="624" spans="1:15" s="2" customFormat="1" x14ac:dyDescent="0.25">
      <c r="A624" s="328" t="s">
        <v>2504</v>
      </c>
      <c r="B624" s="538" t="s">
        <v>2600</v>
      </c>
      <c r="C624" s="252" t="s">
        <v>1336</v>
      </c>
      <c r="D624" s="539">
        <v>55.902000000000001</v>
      </c>
      <c r="E624" s="539">
        <v>11.118</v>
      </c>
      <c r="F624" s="540">
        <v>3502</v>
      </c>
      <c r="G624" s="539">
        <v>3632</v>
      </c>
      <c r="H624" s="539">
        <v>3372</v>
      </c>
      <c r="I624" s="132" t="s">
        <v>7</v>
      </c>
      <c r="J624" s="598" t="s">
        <v>69</v>
      </c>
      <c r="K624" s="417" t="s">
        <v>2513</v>
      </c>
      <c r="L624" s="17" t="s">
        <v>2</v>
      </c>
      <c r="M624" s="600" t="s">
        <v>2597</v>
      </c>
      <c r="N624" s="209" t="s">
        <v>2598</v>
      </c>
      <c r="O624" s="206"/>
    </row>
    <row r="625" spans="1:15" s="2" customFormat="1" x14ac:dyDescent="0.25">
      <c r="A625" s="328" t="s">
        <v>2504</v>
      </c>
      <c r="B625" s="538" t="s">
        <v>2603</v>
      </c>
      <c r="C625" s="252" t="s">
        <v>1336</v>
      </c>
      <c r="D625" s="539">
        <v>55.710999999999999</v>
      </c>
      <c r="E625" s="539">
        <v>12.273999999999999</v>
      </c>
      <c r="F625" s="540">
        <v>3717.5</v>
      </c>
      <c r="G625" s="539">
        <v>3797</v>
      </c>
      <c r="H625" s="539">
        <v>3638</v>
      </c>
      <c r="I625" s="132" t="s">
        <v>2604</v>
      </c>
      <c r="J625" s="598" t="s">
        <v>2512</v>
      </c>
      <c r="K625" s="417" t="s">
        <v>2513</v>
      </c>
      <c r="L625" s="17" t="s">
        <v>14</v>
      </c>
      <c r="M625" s="600" t="s">
        <v>2601</v>
      </c>
      <c r="N625" s="209" t="s">
        <v>2602</v>
      </c>
      <c r="O625" s="206"/>
    </row>
    <row r="626" spans="1:15" s="2" customFormat="1" x14ac:dyDescent="0.25">
      <c r="A626" s="328" t="s">
        <v>2504</v>
      </c>
      <c r="B626" s="538" t="s">
        <v>2607</v>
      </c>
      <c r="C626" s="252" t="s">
        <v>1336</v>
      </c>
      <c r="D626" s="539">
        <v>55.276000000000003</v>
      </c>
      <c r="E626" s="539">
        <v>11.875</v>
      </c>
      <c r="F626" s="540">
        <v>3379.5</v>
      </c>
      <c r="G626" s="539">
        <v>3650</v>
      </c>
      <c r="H626" s="539">
        <v>3109</v>
      </c>
      <c r="I626" s="132" t="s">
        <v>287</v>
      </c>
      <c r="J626" s="598" t="s">
        <v>2512</v>
      </c>
      <c r="K626" s="417" t="s">
        <v>2513</v>
      </c>
      <c r="L626" s="17" t="s">
        <v>14</v>
      </c>
      <c r="M626" s="600" t="s">
        <v>2605</v>
      </c>
      <c r="N626" s="209" t="s">
        <v>2606</v>
      </c>
      <c r="O626" s="206"/>
    </row>
    <row r="627" spans="1:15" s="2" customFormat="1" ht="15.75" thickBot="1" x14ac:dyDescent="0.3">
      <c r="A627" s="328" t="s">
        <v>2504</v>
      </c>
      <c r="B627" s="538" t="s">
        <v>2627</v>
      </c>
      <c r="C627" s="252" t="s">
        <v>1336</v>
      </c>
      <c r="D627" s="539">
        <v>54.865000000000002</v>
      </c>
      <c r="E627" s="539">
        <v>11.840999999999999</v>
      </c>
      <c r="F627" s="540">
        <v>3233.5</v>
      </c>
      <c r="G627" s="539">
        <v>3365</v>
      </c>
      <c r="H627" s="539">
        <v>3102</v>
      </c>
      <c r="I627" s="132" t="s">
        <v>2626</v>
      </c>
      <c r="J627" s="598" t="s">
        <v>1063</v>
      </c>
      <c r="K627" s="417" t="s">
        <v>2513</v>
      </c>
      <c r="L627" s="17" t="s">
        <v>14</v>
      </c>
      <c r="M627" s="600" t="s">
        <v>2622</v>
      </c>
      <c r="N627" s="209" t="s">
        <v>2623</v>
      </c>
      <c r="O627" s="206"/>
    </row>
    <row r="628" spans="1:15" s="2" customFormat="1" ht="15.75" thickBot="1" x14ac:dyDescent="0.3">
      <c r="A628" s="328" t="s">
        <v>2504</v>
      </c>
      <c r="B628" s="538" t="s">
        <v>2627</v>
      </c>
      <c r="C628" s="252" t="s">
        <v>1336</v>
      </c>
      <c r="D628" s="539">
        <v>54.865000000000002</v>
      </c>
      <c r="E628" s="539">
        <v>11.840999999999999</v>
      </c>
      <c r="F628" s="540">
        <v>3506.5</v>
      </c>
      <c r="G628" s="539">
        <v>3633</v>
      </c>
      <c r="H628" s="539">
        <v>3380</v>
      </c>
      <c r="I628" s="221" t="s">
        <v>915</v>
      </c>
      <c r="J628" s="598" t="s">
        <v>705</v>
      </c>
      <c r="K628" s="417" t="s">
        <v>2513</v>
      </c>
      <c r="L628" s="17" t="s">
        <v>14</v>
      </c>
      <c r="M628" s="600" t="s">
        <v>2624</v>
      </c>
      <c r="N628" s="209" t="s">
        <v>2625</v>
      </c>
      <c r="O628" s="206"/>
    </row>
    <row r="629" spans="1:15" s="2" customFormat="1" x14ac:dyDescent="0.25">
      <c r="A629" s="328" t="s">
        <v>2504</v>
      </c>
      <c r="B629" s="538" t="s">
        <v>2630</v>
      </c>
      <c r="C629" s="252" t="s">
        <v>1336</v>
      </c>
      <c r="D629" s="539">
        <v>54.988999999999997</v>
      </c>
      <c r="E629" s="539">
        <v>12.419</v>
      </c>
      <c r="F629" s="540">
        <v>3508</v>
      </c>
      <c r="G629" s="539">
        <v>3639</v>
      </c>
      <c r="H629" s="539">
        <v>3377</v>
      </c>
      <c r="I629" s="132" t="s">
        <v>122</v>
      </c>
      <c r="J629" s="598" t="s">
        <v>2512</v>
      </c>
      <c r="K629" s="417" t="s">
        <v>2513</v>
      </c>
      <c r="L629" s="17" t="s">
        <v>14</v>
      </c>
      <c r="M629" s="600" t="s">
        <v>2628</v>
      </c>
      <c r="N629" s="209" t="s">
        <v>2629</v>
      </c>
      <c r="O629" s="206"/>
    </row>
    <row r="630" spans="1:15" s="2" customFormat="1" x14ac:dyDescent="0.25">
      <c r="A630" s="328" t="s">
        <v>2504</v>
      </c>
      <c r="B630" s="538" t="s">
        <v>2633</v>
      </c>
      <c r="C630" s="252" t="s">
        <v>1336</v>
      </c>
      <c r="D630" s="539">
        <v>55.73</v>
      </c>
      <c r="E630" s="539">
        <v>12.1</v>
      </c>
      <c r="F630" s="540">
        <v>3763.5</v>
      </c>
      <c r="G630" s="539">
        <v>3891</v>
      </c>
      <c r="H630" s="539">
        <v>3636</v>
      </c>
      <c r="I630" s="132" t="s">
        <v>18</v>
      </c>
      <c r="J630" s="598" t="s">
        <v>69</v>
      </c>
      <c r="K630" s="417" t="s">
        <v>2513</v>
      </c>
      <c r="L630" s="17" t="s">
        <v>2</v>
      </c>
      <c r="M630" s="600" t="s">
        <v>2631</v>
      </c>
      <c r="N630" s="209" t="s">
        <v>2632</v>
      </c>
      <c r="O630" s="206"/>
    </row>
    <row r="631" spans="1:15" s="2" customFormat="1" x14ac:dyDescent="0.25">
      <c r="A631" s="328" t="s">
        <v>2504</v>
      </c>
      <c r="B631" s="538" t="s">
        <v>2634</v>
      </c>
      <c r="C631" s="252" t="s">
        <v>1336</v>
      </c>
      <c r="D631" s="539">
        <v>54.969000000000001</v>
      </c>
      <c r="E631" s="539">
        <v>12.494</v>
      </c>
      <c r="F631" s="540">
        <v>3493.5</v>
      </c>
      <c r="G631" s="539">
        <v>3617</v>
      </c>
      <c r="H631" s="539">
        <v>3370</v>
      </c>
      <c r="I631" s="132" t="s">
        <v>1203</v>
      </c>
      <c r="J631" s="598" t="s">
        <v>69</v>
      </c>
      <c r="K631" s="417" t="s">
        <v>2513</v>
      </c>
      <c r="L631" s="17" t="s">
        <v>2</v>
      </c>
      <c r="M631" s="600" t="s">
        <v>2631</v>
      </c>
      <c r="N631" s="209" t="s">
        <v>2632</v>
      </c>
      <c r="O631" s="206"/>
    </row>
    <row r="632" spans="1:15" s="2" customFormat="1" x14ac:dyDescent="0.25">
      <c r="A632" s="328" t="s">
        <v>2504</v>
      </c>
      <c r="B632" s="538" t="s">
        <v>2638</v>
      </c>
      <c r="C632" s="252" t="s">
        <v>1336</v>
      </c>
      <c r="D632" s="539">
        <v>54.771000000000001</v>
      </c>
      <c r="E632" s="539">
        <v>10.675000000000001</v>
      </c>
      <c r="F632" s="553">
        <v>2996.5</v>
      </c>
      <c r="G632" s="554">
        <v>3077</v>
      </c>
      <c r="H632" s="554">
        <v>2916</v>
      </c>
      <c r="I632" s="132" t="s">
        <v>2637</v>
      </c>
      <c r="J632" s="598" t="s">
        <v>69</v>
      </c>
      <c r="K632" s="417" t="s">
        <v>2513</v>
      </c>
      <c r="L632" s="17" t="s">
        <v>2</v>
      </c>
      <c r="M632" s="600" t="s">
        <v>2635</v>
      </c>
      <c r="N632" s="209" t="s">
        <v>2636</v>
      </c>
      <c r="O632" s="205" t="s">
        <v>2639</v>
      </c>
    </row>
    <row r="633" spans="1:15" s="2" customFormat="1" x14ac:dyDescent="0.25">
      <c r="A633" s="328" t="s">
        <v>2504</v>
      </c>
      <c r="B633" s="538" t="s">
        <v>2642</v>
      </c>
      <c r="C633" s="252" t="s">
        <v>1336</v>
      </c>
      <c r="D633" s="539">
        <v>55.253</v>
      </c>
      <c r="E633" s="539">
        <v>10.746</v>
      </c>
      <c r="F633" s="540">
        <v>3488</v>
      </c>
      <c r="G633" s="539">
        <v>3629</v>
      </c>
      <c r="H633" s="539">
        <v>3347</v>
      </c>
      <c r="I633" s="132" t="s">
        <v>10</v>
      </c>
      <c r="J633" s="598" t="s">
        <v>1063</v>
      </c>
      <c r="K633" s="417" t="s">
        <v>2513</v>
      </c>
      <c r="L633" s="17" t="s">
        <v>14</v>
      </c>
      <c r="M633" s="600" t="s">
        <v>2640</v>
      </c>
      <c r="N633" s="209" t="s">
        <v>2641</v>
      </c>
      <c r="O633" s="206"/>
    </row>
    <row r="634" spans="1:15" s="2" customFormat="1" x14ac:dyDescent="0.25">
      <c r="A634" s="328" t="s">
        <v>2504</v>
      </c>
      <c r="B634" s="538" t="s">
        <v>2643</v>
      </c>
      <c r="C634" s="252" t="s">
        <v>1336</v>
      </c>
      <c r="D634" s="539">
        <v>55.564</v>
      </c>
      <c r="E634" s="539">
        <v>12.016</v>
      </c>
      <c r="F634" s="540">
        <v>3297.5</v>
      </c>
      <c r="G634" s="539">
        <v>3492</v>
      </c>
      <c r="H634" s="539">
        <v>3103</v>
      </c>
      <c r="I634" s="132" t="s">
        <v>18</v>
      </c>
      <c r="J634" s="598" t="s">
        <v>2512</v>
      </c>
      <c r="K634" s="417" t="s">
        <v>2513</v>
      </c>
      <c r="L634" s="17" t="s">
        <v>14</v>
      </c>
      <c r="M634" s="600" t="s">
        <v>2644</v>
      </c>
      <c r="N634" s="209" t="s">
        <v>2645</v>
      </c>
      <c r="O634" s="206"/>
    </row>
    <row r="635" spans="1:15" s="2" customFormat="1" x14ac:dyDescent="0.25">
      <c r="A635" s="328" t="s">
        <v>2504</v>
      </c>
      <c r="B635" s="538" t="s">
        <v>2651</v>
      </c>
      <c r="C635" s="252" t="s">
        <v>1336</v>
      </c>
      <c r="D635" s="539">
        <v>55.575000000000003</v>
      </c>
      <c r="E635" s="539">
        <v>11.294</v>
      </c>
      <c r="F635" s="540">
        <v>3545</v>
      </c>
      <c r="G635" s="539">
        <v>3708</v>
      </c>
      <c r="H635" s="539">
        <v>3382</v>
      </c>
      <c r="I635" s="132" t="s">
        <v>7</v>
      </c>
      <c r="J635" s="598" t="s">
        <v>69</v>
      </c>
      <c r="K635" s="417" t="s">
        <v>2513</v>
      </c>
      <c r="L635" s="17" t="s">
        <v>2</v>
      </c>
      <c r="M635" s="600" t="s">
        <v>2646</v>
      </c>
      <c r="N635" s="209" t="s">
        <v>2647</v>
      </c>
      <c r="O635" s="206"/>
    </row>
    <row r="636" spans="1:15" s="2" customFormat="1" x14ac:dyDescent="0.25">
      <c r="A636" s="328" t="s">
        <v>2504</v>
      </c>
      <c r="B636" s="538" t="s">
        <v>2652</v>
      </c>
      <c r="C636" s="252" t="s">
        <v>1336</v>
      </c>
      <c r="D636" s="539">
        <v>56.484999999999999</v>
      </c>
      <c r="E636" s="539">
        <v>9.827</v>
      </c>
      <c r="F636" s="540">
        <v>3493.5</v>
      </c>
      <c r="G636" s="539">
        <v>3626</v>
      </c>
      <c r="H636" s="539">
        <v>3361</v>
      </c>
      <c r="I636" s="132" t="s">
        <v>2654</v>
      </c>
      <c r="J636" s="598" t="s">
        <v>69</v>
      </c>
      <c r="K636" s="417" t="s">
        <v>2513</v>
      </c>
      <c r="L636" s="17" t="s">
        <v>2</v>
      </c>
      <c r="M636" s="600" t="s">
        <v>2648</v>
      </c>
      <c r="N636" s="209" t="s">
        <v>2649</v>
      </c>
      <c r="O636" s="206"/>
    </row>
    <row r="637" spans="1:15" s="2" customFormat="1" x14ac:dyDescent="0.25">
      <c r="A637" s="328" t="s">
        <v>2504</v>
      </c>
      <c r="B637" s="538" t="s">
        <v>2653</v>
      </c>
      <c r="C637" s="252" t="s">
        <v>1336</v>
      </c>
      <c r="D637" s="539">
        <v>55.768000000000001</v>
      </c>
      <c r="E637" s="539">
        <v>11.388</v>
      </c>
      <c r="F637" s="540">
        <v>3835.5</v>
      </c>
      <c r="G637" s="539">
        <v>3957</v>
      </c>
      <c r="H637" s="539">
        <v>3714</v>
      </c>
      <c r="I637" s="132" t="s">
        <v>1200</v>
      </c>
      <c r="J637" s="598" t="s">
        <v>80</v>
      </c>
      <c r="K637" s="417" t="s">
        <v>2513</v>
      </c>
      <c r="L637" s="17" t="s">
        <v>14</v>
      </c>
      <c r="M637" s="600" t="s">
        <v>2656</v>
      </c>
      <c r="N637" s="209" t="s">
        <v>2650</v>
      </c>
      <c r="O637" s="205" t="s">
        <v>2655</v>
      </c>
    </row>
    <row r="638" spans="1:15" s="45" customFormat="1" x14ac:dyDescent="0.25">
      <c r="A638" s="665" t="s">
        <v>4261</v>
      </c>
      <c r="B638" s="669"/>
      <c r="C638" s="668"/>
      <c r="D638" s="684">
        <f>AVERAGE(D568:D637)</f>
        <v>56.809353457142862</v>
      </c>
      <c r="E638" s="684">
        <f>AVERAGE(E568:E637)</f>
        <v>13.332005985714289</v>
      </c>
      <c r="F638" s="685">
        <f>AVERAGE(F568:F637)</f>
        <v>3286.1928571428571</v>
      </c>
      <c r="G638" s="12"/>
      <c r="H638" s="113"/>
      <c r="I638" s="357"/>
      <c r="J638" s="281"/>
      <c r="K638" s="232"/>
      <c r="L638" s="29"/>
      <c r="M638" s="232"/>
      <c r="N638" s="354"/>
      <c r="O638" s="325"/>
    </row>
    <row r="639" spans="1:15" s="2" customFormat="1" x14ac:dyDescent="0.25">
      <c r="A639" s="87" t="s">
        <v>3899</v>
      </c>
      <c r="B639" s="367"/>
      <c r="C639" s="404"/>
      <c r="D639" s="369"/>
      <c r="E639" s="369"/>
      <c r="F639" s="251"/>
      <c r="G639" s="12"/>
      <c r="H639" s="113"/>
      <c r="I639" s="281"/>
      <c r="J639" s="281"/>
      <c r="K639" s="370"/>
      <c r="L639" s="29"/>
      <c r="M639" s="232"/>
      <c r="N639" s="354"/>
      <c r="O639" s="61"/>
    </row>
    <row r="640" spans="1:15" s="2" customFormat="1" x14ac:dyDescent="0.25">
      <c r="A640" s="87"/>
      <c r="B640" s="367"/>
      <c r="C640" s="404"/>
      <c r="D640" s="369"/>
      <c r="E640" s="369"/>
      <c r="F640" s="251"/>
      <c r="G640" s="12"/>
      <c r="H640" s="113"/>
      <c r="I640" s="281"/>
      <c r="J640" s="281"/>
      <c r="K640" s="370"/>
      <c r="L640" s="29"/>
      <c r="M640" s="232"/>
      <c r="N640" s="354"/>
      <c r="O640" s="61"/>
    </row>
    <row r="641" spans="1:15" s="2" customFormat="1" x14ac:dyDescent="0.25">
      <c r="A641" s="665" t="s">
        <v>4260</v>
      </c>
      <c r="B641" s="367"/>
      <c r="C641" s="404"/>
      <c r="D641" s="369"/>
      <c r="E641" s="369"/>
      <c r="F641" s="251"/>
      <c r="G641" s="12"/>
      <c r="H641" s="113"/>
      <c r="I641" s="281"/>
      <c r="J641" s="281"/>
      <c r="K641" s="370"/>
      <c r="L641" s="29"/>
      <c r="M641" s="232"/>
      <c r="N641" s="354"/>
      <c r="O641" s="61"/>
    </row>
    <row r="642" spans="1:15" s="100" customFormat="1" ht="32.450000000000003" customHeight="1" thickBot="1" x14ac:dyDescent="0.3">
      <c r="A642" s="507" t="s">
        <v>4291</v>
      </c>
      <c r="B642" s="508" t="s">
        <v>1247</v>
      </c>
      <c r="C642" s="519" t="s">
        <v>0</v>
      </c>
      <c r="D642" s="510" t="s">
        <v>969</v>
      </c>
      <c r="E642" s="510" t="s">
        <v>2323</v>
      </c>
      <c r="F642" s="510" t="s">
        <v>398</v>
      </c>
      <c r="G642" s="511" t="s">
        <v>399</v>
      </c>
      <c r="H642" s="512" t="s">
        <v>400</v>
      </c>
      <c r="I642" s="101" t="s">
        <v>2322</v>
      </c>
      <c r="J642" s="589" t="s">
        <v>3927</v>
      </c>
      <c r="K642" s="590" t="s">
        <v>3250</v>
      </c>
      <c r="L642" s="591" t="s">
        <v>1</v>
      </c>
      <c r="M642" s="590" t="s">
        <v>3486</v>
      </c>
      <c r="N642" s="640" t="s">
        <v>3487</v>
      </c>
      <c r="O642" s="339" t="s">
        <v>2324</v>
      </c>
    </row>
    <row r="643" spans="1:15" s="100" customFormat="1" ht="13.9" customHeight="1" thickBot="1" x14ac:dyDescent="0.3">
      <c r="A643" s="555" t="s">
        <v>3192</v>
      </c>
      <c r="B643" s="205" t="s">
        <v>3026</v>
      </c>
      <c r="C643" s="252" t="s">
        <v>4224</v>
      </c>
      <c r="D643" s="192">
        <v>47.97</v>
      </c>
      <c r="E643" s="192">
        <v>3.56</v>
      </c>
      <c r="F643" s="511">
        <f>(G643+H643)/2</f>
        <v>5022</v>
      </c>
      <c r="G643" s="522">
        <v>5199</v>
      </c>
      <c r="H643" s="523">
        <v>4845</v>
      </c>
      <c r="I643" s="226" t="s">
        <v>43</v>
      </c>
      <c r="J643" s="612" t="s">
        <v>69</v>
      </c>
      <c r="K643" s="602" t="s">
        <v>2513</v>
      </c>
      <c r="L643" s="595" t="s">
        <v>14</v>
      </c>
      <c r="M643" s="370" t="s">
        <v>3215</v>
      </c>
      <c r="N643" s="645"/>
      <c r="O643" s="340" t="s">
        <v>3249</v>
      </c>
    </row>
    <row r="644" spans="1:15" s="100" customFormat="1" ht="13.9" customHeight="1" x14ac:dyDescent="0.25">
      <c r="A644" s="555" t="s">
        <v>3192</v>
      </c>
      <c r="B644" s="205" t="s">
        <v>3026</v>
      </c>
      <c r="C644" s="252" t="s">
        <v>4224</v>
      </c>
      <c r="D644" s="528">
        <v>47.8652728</v>
      </c>
      <c r="E644" s="528">
        <v>3.6079823000000002</v>
      </c>
      <c r="F644" s="511">
        <f t="shared" ref="F644:F676" si="22">(G644+H644)/2</f>
        <v>4437.5</v>
      </c>
      <c r="G644" s="522">
        <v>4520</v>
      </c>
      <c r="H644" s="523">
        <v>4355</v>
      </c>
      <c r="I644" s="225" t="s">
        <v>559</v>
      </c>
      <c r="J644" s="612" t="s">
        <v>69</v>
      </c>
      <c r="K644" s="417" t="s">
        <v>3011</v>
      </c>
      <c r="L644" s="595" t="s">
        <v>14</v>
      </c>
      <c r="M644" s="370" t="s">
        <v>3216</v>
      </c>
      <c r="N644" s="645"/>
      <c r="O644" s="339"/>
    </row>
    <row r="645" spans="1:15" s="100" customFormat="1" ht="13.9" customHeight="1" x14ac:dyDescent="0.25">
      <c r="A645" s="555" t="s">
        <v>3192</v>
      </c>
      <c r="B645" s="205" t="s">
        <v>3026</v>
      </c>
      <c r="C645" s="252" t="s">
        <v>4224</v>
      </c>
      <c r="D645" s="528">
        <v>47.8652728</v>
      </c>
      <c r="E645" s="528">
        <v>3.6079823000000002</v>
      </c>
      <c r="F645" s="511">
        <f t="shared" si="22"/>
        <v>4581.2857142857138</v>
      </c>
      <c r="G645" s="522">
        <v>4685.7142857142853</v>
      </c>
      <c r="H645" s="523">
        <v>4476.8571428571431</v>
      </c>
      <c r="I645" s="188" t="s">
        <v>559</v>
      </c>
      <c r="J645" s="612" t="s">
        <v>69</v>
      </c>
      <c r="K645" s="417" t="s">
        <v>3011</v>
      </c>
      <c r="L645" s="595" t="s">
        <v>2</v>
      </c>
      <c r="M645" s="370" t="s">
        <v>3217</v>
      </c>
      <c r="N645" s="645"/>
      <c r="O645" s="205" t="s">
        <v>3062</v>
      </c>
    </row>
    <row r="646" spans="1:15" s="100" customFormat="1" ht="13.9" customHeight="1" x14ac:dyDescent="0.25">
      <c r="A646" s="555" t="s">
        <v>3192</v>
      </c>
      <c r="B646" s="205" t="s">
        <v>3026</v>
      </c>
      <c r="C646" s="252" t="s">
        <v>4224</v>
      </c>
      <c r="D646" s="528">
        <v>47.8652728</v>
      </c>
      <c r="E646" s="528">
        <v>3.6079823000000002</v>
      </c>
      <c r="F646" s="511">
        <f t="shared" si="22"/>
        <v>4581.2857142857138</v>
      </c>
      <c r="G646" s="522">
        <v>4685.7142857142853</v>
      </c>
      <c r="H646" s="523">
        <v>4476.8571428571431</v>
      </c>
      <c r="I646" s="188" t="s">
        <v>3</v>
      </c>
      <c r="J646" s="612" t="s">
        <v>69</v>
      </c>
      <c r="K646" s="417" t="s">
        <v>3011</v>
      </c>
      <c r="L646" s="595" t="s">
        <v>69</v>
      </c>
      <c r="M646" s="370" t="s">
        <v>3218</v>
      </c>
      <c r="N646" s="645"/>
      <c r="O646" s="205" t="s">
        <v>3062</v>
      </c>
    </row>
    <row r="647" spans="1:15" s="100" customFormat="1" ht="13.9" customHeight="1" x14ac:dyDescent="0.25">
      <c r="A647" s="555" t="s">
        <v>3192</v>
      </c>
      <c r="B647" s="205" t="s">
        <v>3026</v>
      </c>
      <c r="C647" s="252" t="s">
        <v>4224</v>
      </c>
      <c r="D647" s="528">
        <v>47.8652728</v>
      </c>
      <c r="E647" s="528">
        <v>3.6079823000000002</v>
      </c>
      <c r="F647" s="511">
        <f t="shared" si="22"/>
        <v>4581.2857142857138</v>
      </c>
      <c r="G647" s="522">
        <v>4685.7142857142853</v>
      </c>
      <c r="H647" s="523">
        <v>4476.8571428571431</v>
      </c>
      <c r="I647" s="225" t="s">
        <v>162</v>
      </c>
      <c r="J647" s="612" t="s">
        <v>69</v>
      </c>
      <c r="K647" s="417" t="s">
        <v>3011</v>
      </c>
      <c r="L647" s="595" t="s">
        <v>69</v>
      </c>
      <c r="M647" s="370" t="s">
        <v>3219</v>
      </c>
      <c r="N647" s="645" t="s">
        <v>972</v>
      </c>
      <c r="O647" s="205" t="s">
        <v>3062</v>
      </c>
    </row>
    <row r="648" spans="1:15" s="100" customFormat="1" ht="13.9" customHeight="1" thickBot="1" x14ac:dyDescent="0.3">
      <c r="A648" s="555" t="s">
        <v>3192</v>
      </c>
      <c r="B648" s="205" t="s">
        <v>3026</v>
      </c>
      <c r="C648" s="252" t="s">
        <v>4224</v>
      </c>
      <c r="D648" s="528">
        <v>47.8652728</v>
      </c>
      <c r="E648" s="528">
        <v>3.6079823000000002</v>
      </c>
      <c r="F648" s="511">
        <f t="shared" si="22"/>
        <v>4608.5</v>
      </c>
      <c r="G648" s="522">
        <v>4713</v>
      </c>
      <c r="H648" s="523">
        <v>4504</v>
      </c>
      <c r="I648" s="225" t="s">
        <v>18</v>
      </c>
      <c r="J648" s="612" t="s">
        <v>69</v>
      </c>
      <c r="K648" s="417" t="s">
        <v>3011</v>
      </c>
      <c r="L648" s="595" t="s">
        <v>2</v>
      </c>
      <c r="M648" s="370" t="s">
        <v>3220</v>
      </c>
      <c r="N648" s="645" t="s">
        <v>972</v>
      </c>
      <c r="O648" s="339"/>
    </row>
    <row r="649" spans="1:15" s="100" customFormat="1" ht="13.9" customHeight="1" thickBot="1" x14ac:dyDescent="0.3">
      <c r="A649" s="555" t="s">
        <v>3192</v>
      </c>
      <c r="B649" s="205" t="s">
        <v>3026</v>
      </c>
      <c r="C649" s="252" t="s">
        <v>4224</v>
      </c>
      <c r="D649" s="528">
        <v>47.8652728</v>
      </c>
      <c r="E649" s="528">
        <v>3.6079823000000002</v>
      </c>
      <c r="F649" s="511">
        <f t="shared" si="22"/>
        <v>4581.2857142857138</v>
      </c>
      <c r="G649" s="522">
        <v>4685.7142857142853</v>
      </c>
      <c r="H649" s="522">
        <v>4476.8571428571431</v>
      </c>
      <c r="I649" s="226" t="s">
        <v>43</v>
      </c>
      <c r="J649" s="612" t="s">
        <v>69</v>
      </c>
      <c r="K649" s="417" t="s">
        <v>3011</v>
      </c>
      <c r="L649" s="595" t="s">
        <v>69</v>
      </c>
      <c r="M649" s="370" t="s">
        <v>3202</v>
      </c>
      <c r="N649" s="645" t="s">
        <v>972</v>
      </c>
      <c r="O649" s="205" t="s">
        <v>3062</v>
      </c>
    </row>
    <row r="650" spans="1:15" s="100" customFormat="1" ht="13.9" customHeight="1" x14ac:dyDescent="0.25">
      <c r="A650" s="555" t="s">
        <v>3192</v>
      </c>
      <c r="B650" s="205" t="s">
        <v>3026</v>
      </c>
      <c r="C650" s="252" t="s">
        <v>4224</v>
      </c>
      <c r="D650" s="528">
        <v>47.8652728</v>
      </c>
      <c r="E650" s="528">
        <v>3.6079823000000002</v>
      </c>
      <c r="F650" s="511">
        <f t="shared" si="22"/>
        <v>4581.2857142857138</v>
      </c>
      <c r="G650" s="556">
        <v>4685.7142857142853</v>
      </c>
      <c r="H650" s="556">
        <v>4476.8571428571431</v>
      </c>
      <c r="I650" s="222" t="s">
        <v>105</v>
      </c>
      <c r="J650" s="612" t="s">
        <v>69</v>
      </c>
      <c r="K650" s="417" t="s">
        <v>3011</v>
      </c>
      <c r="L650" s="595" t="s">
        <v>69</v>
      </c>
      <c r="M650" s="194" t="s">
        <v>3221</v>
      </c>
      <c r="N650" s="645" t="s">
        <v>972</v>
      </c>
      <c r="O650" s="205" t="s">
        <v>3062</v>
      </c>
    </row>
    <row r="651" spans="1:15" s="100" customFormat="1" ht="13.9" customHeight="1" thickBot="1" x14ac:dyDescent="0.3">
      <c r="A651" s="555" t="s">
        <v>3192</v>
      </c>
      <c r="B651" s="205" t="s">
        <v>3026</v>
      </c>
      <c r="C651" s="252" t="s">
        <v>4224</v>
      </c>
      <c r="D651" s="528">
        <v>47.8652728</v>
      </c>
      <c r="E651" s="528">
        <v>3.6079823000000002</v>
      </c>
      <c r="F651" s="511">
        <f t="shared" si="22"/>
        <v>4581.2857142857138</v>
      </c>
      <c r="G651" s="522">
        <v>4685.7142857142853</v>
      </c>
      <c r="H651" s="522">
        <v>4476.8571428571431</v>
      </c>
      <c r="I651" s="225" t="s">
        <v>13</v>
      </c>
      <c r="J651" s="612" t="s">
        <v>69</v>
      </c>
      <c r="K651" s="417" t="s">
        <v>3011</v>
      </c>
      <c r="L651" s="613" t="s">
        <v>14</v>
      </c>
      <c r="M651" s="370" t="s">
        <v>3222</v>
      </c>
      <c r="N651" s="645"/>
      <c r="O651" s="205" t="s">
        <v>3062</v>
      </c>
    </row>
    <row r="652" spans="1:15" s="100" customFormat="1" ht="13.9" customHeight="1" thickBot="1" x14ac:dyDescent="0.3">
      <c r="A652" s="555" t="s">
        <v>3192</v>
      </c>
      <c r="B652" s="205" t="s">
        <v>3026</v>
      </c>
      <c r="C652" s="252" t="s">
        <v>4224</v>
      </c>
      <c r="D652" s="528">
        <v>47.8652728</v>
      </c>
      <c r="E652" s="528">
        <v>3.6079823000000002</v>
      </c>
      <c r="F652" s="511">
        <f t="shared" si="22"/>
        <v>4454</v>
      </c>
      <c r="G652" s="522">
        <v>4546</v>
      </c>
      <c r="H652" s="523">
        <v>4362</v>
      </c>
      <c r="I652" s="226" t="s">
        <v>43</v>
      </c>
      <c r="J652" s="612" t="s">
        <v>69</v>
      </c>
      <c r="K652" s="417" t="s">
        <v>3011</v>
      </c>
      <c r="L652" s="613" t="s">
        <v>14</v>
      </c>
      <c r="M652" s="370" t="s">
        <v>3223</v>
      </c>
      <c r="N652" s="645"/>
      <c r="O652" s="339"/>
    </row>
    <row r="653" spans="1:15" s="100" customFormat="1" ht="13.9" customHeight="1" thickBot="1" x14ac:dyDescent="0.3">
      <c r="A653" s="555" t="s">
        <v>3192</v>
      </c>
      <c r="B653" s="205" t="s">
        <v>3026</v>
      </c>
      <c r="C653" s="252" t="s">
        <v>4224</v>
      </c>
      <c r="D653" s="528">
        <v>47.8652728</v>
      </c>
      <c r="E653" s="528">
        <v>3.6079823000000002</v>
      </c>
      <c r="F653" s="511">
        <f t="shared" si="22"/>
        <v>4581.2857142857138</v>
      </c>
      <c r="G653" s="522">
        <v>4685.7142857142853</v>
      </c>
      <c r="H653" s="523">
        <v>4476.8571428571431</v>
      </c>
      <c r="I653" s="226" t="s">
        <v>43</v>
      </c>
      <c r="J653" s="612" t="s">
        <v>69</v>
      </c>
      <c r="K653" s="417" t="s">
        <v>3011</v>
      </c>
      <c r="L653" s="613" t="s">
        <v>69</v>
      </c>
      <c r="M653" s="370" t="s">
        <v>3224</v>
      </c>
      <c r="N653" s="645"/>
      <c r="O653" s="205" t="s">
        <v>3062</v>
      </c>
    </row>
    <row r="654" spans="1:15" s="100" customFormat="1" ht="13.9" customHeight="1" thickBot="1" x14ac:dyDescent="0.3">
      <c r="A654" s="555" t="s">
        <v>3192</v>
      </c>
      <c r="B654" s="205" t="s">
        <v>3026</v>
      </c>
      <c r="C654" s="252" t="s">
        <v>4224</v>
      </c>
      <c r="D654" s="528">
        <v>47.8652728</v>
      </c>
      <c r="E654" s="528">
        <v>3.6079823000000002</v>
      </c>
      <c r="F654" s="511">
        <f t="shared" si="22"/>
        <v>4581.2857142857138</v>
      </c>
      <c r="G654" s="522">
        <v>4685.7142857142853</v>
      </c>
      <c r="H654" s="523">
        <v>4476.8571428571431</v>
      </c>
      <c r="I654" s="226" t="s">
        <v>43</v>
      </c>
      <c r="J654" s="612" t="s">
        <v>69</v>
      </c>
      <c r="K654" s="417" t="s">
        <v>3011</v>
      </c>
      <c r="L654" s="613" t="s">
        <v>69</v>
      </c>
      <c r="M654" s="370" t="s">
        <v>3225</v>
      </c>
      <c r="N654" s="645" t="s">
        <v>972</v>
      </c>
      <c r="O654" s="205" t="s">
        <v>3062</v>
      </c>
    </row>
    <row r="655" spans="1:15" s="100" customFormat="1" ht="13.9" customHeight="1" thickBot="1" x14ac:dyDescent="0.3">
      <c r="A655" s="555" t="s">
        <v>3192</v>
      </c>
      <c r="B655" s="205" t="s">
        <v>3026</v>
      </c>
      <c r="C655" s="252" t="s">
        <v>4224</v>
      </c>
      <c r="D655" s="528">
        <v>47.8652728</v>
      </c>
      <c r="E655" s="528">
        <v>3.6079823000000002</v>
      </c>
      <c r="F655" s="511">
        <f t="shared" si="22"/>
        <v>4581.2857142857138</v>
      </c>
      <c r="G655" s="522">
        <v>4685.7142857142853</v>
      </c>
      <c r="H655" s="523">
        <v>4476.8571428571431</v>
      </c>
      <c r="I655" s="226" t="s">
        <v>43</v>
      </c>
      <c r="J655" s="612" t="s">
        <v>69</v>
      </c>
      <c r="K655" s="417" t="s">
        <v>3011</v>
      </c>
      <c r="L655" s="613" t="s">
        <v>14</v>
      </c>
      <c r="M655" s="370" t="s">
        <v>3226</v>
      </c>
      <c r="N655" s="645" t="s">
        <v>972</v>
      </c>
      <c r="O655" s="205" t="s">
        <v>3062</v>
      </c>
    </row>
    <row r="656" spans="1:15" s="100" customFormat="1" ht="13.9" customHeight="1" x14ac:dyDescent="0.25">
      <c r="A656" s="555" t="s">
        <v>3192</v>
      </c>
      <c r="B656" s="205" t="s">
        <v>3026</v>
      </c>
      <c r="C656" s="252" t="s">
        <v>4224</v>
      </c>
      <c r="D656" s="528">
        <v>47.8652728</v>
      </c>
      <c r="E656" s="528">
        <v>3.6079823000000002</v>
      </c>
      <c r="F656" s="511">
        <f t="shared" si="22"/>
        <v>4581.2857142857138</v>
      </c>
      <c r="G656" s="522">
        <v>4685.7142857142853</v>
      </c>
      <c r="H656" s="523">
        <v>4476.8571428571431</v>
      </c>
      <c r="I656" s="225" t="s">
        <v>3</v>
      </c>
      <c r="J656" s="612" t="s">
        <v>69</v>
      </c>
      <c r="K656" s="417" t="s">
        <v>3011</v>
      </c>
      <c r="L656" s="613" t="s">
        <v>2</v>
      </c>
      <c r="M656" s="370" t="s">
        <v>3227</v>
      </c>
      <c r="N656" s="645"/>
      <c r="O656" s="205" t="s">
        <v>3062</v>
      </c>
    </row>
    <row r="657" spans="1:15" s="100" customFormat="1" ht="13.9" customHeight="1" x14ac:dyDescent="0.25">
      <c r="A657" s="555" t="s">
        <v>3192</v>
      </c>
      <c r="B657" s="205" t="s">
        <v>3026</v>
      </c>
      <c r="C657" s="252" t="s">
        <v>4224</v>
      </c>
      <c r="D657" s="528">
        <v>47.8652728</v>
      </c>
      <c r="E657" s="528">
        <v>3.6079823000000002</v>
      </c>
      <c r="F657" s="511">
        <f t="shared" si="22"/>
        <v>4581.2857142857138</v>
      </c>
      <c r="G657" s="522">
        <v>4685.7142857142853</v>
      </c>
      <c r="H657" s="523">
        <v>4476.8571428571431</v>
      </c>
      <c r="I657" s="225" t="s">
        <v>9</v>
      </c>
      <c r="J657" s="612" t="s">
        <v>69</v>
      </c>
      <c r="K657" s="417" t="s">
        <v>3011</v>
      </c>
      <c r="L657" s="613" t="s">
        <v>69</v>
      </c>
      <c r="M657" s="370" t="s">
        <v>3228</v>
      </c>
      <c r="N657" s="645"/>
      <c r="O657" s="205" t="s">
        <v>3062</v>
      </c>
    </row>
    <row r="658" spans="1:15" s="100" customFormat="1" ht="13.9" customHeight="1" x14ac:dyDescent="0.25">
      <c r="A658" s="555" t="s">
        <v>3192</v>
      </c>
      <c r="B658" s="205" t="s">
        <v>3026</v>
      </c>
      <c r="C658" s="252" t="s">
        <v>4224</v>
      </c>
      <c r="D658" s="528">
        <v>47.8652728</v>
      </c>
      <c r="E658" s="528">
        <v>3.6079823000000002</v>
      </c>
      <c r="F658" s="511">
        <f t="shared" si="22"/>
        <v>4581.2857142857138</v>
      </c>
      <c r="G658" s="522">
        <v>4685.7142857142853</v>
      </c>
      <c r="H658" s="523">
        <v>4476.8571428571431</v>
      </c>
      <c r="I658" s="225" t="s">
        <v>1273</v>
      </c>
      <c r="J658" s="612" t="s">
        <v>69</v>
      </c>
      <c r="K658" s="417" t="s">
        <v>3011</v>
      </c>
      <c r="L658" s="595" t="s">
        <v>2</v>
      </c>
      <c r="M658" s="370" t="s">
        <v>3229</v>
      </c>
      <c r="N658" s="645"/>
      <c r="O658" s="205" t="s">
        <v>3062</v>
      </c>
    </row>
    <row r="659" spans="1:15" s="100" customFormat="1" ht="13.9" customHeight="1" x14ac:dyDescent="0.25">
      <c r="A659" s="555" t="s">
        <v>3192</v>
      </c>
      <c r="B659" s="205" t="s">
        <v>3026</v>
      </c>
      <c r="C659" s="252" t="s">
        <v>4224</v>
      </c>
      <c r="D659" s="528">
        <v>47.8652728</v>
      </c>
      <c r="E659" s="528">
        <v>3.6079823000000002</v>
      </c>
      <c r="F659" s="511">
        <f t="shared" si="22"/>
        <v>4581.2857142857138</v>
      </c>
      <c r="G659" s="522">
        <v>4685.7142857142853</v>
      </c>
      <c r="H659" s="523">
        <v>4476.8571428571431</v>
      </c>
      <c r="I659" s="225" t="s">
        <v>86</v>
      </c>
      <c r="J659" s="612" t="s">
        <v>69</v>
      </c>
      <c r="K659" s="417" t="s">
        <v>3011</v>
      </c>
      <c r="L659" s="595" t="s">
        <v>69</v>
      </c>
      <c r="M659" s="370" t="s">
        <v>3230</v>
      </c>
      <c r="N659" s="645"/>
      <c r="O659" s="205" t="s">
        <v>3062</v>
      </c>
    </row>
    <row r="660" spans="1:15" s="100" customFormat="1" ht="13.9" customHeight="1" thickBot="1" x14ac:dyDescent="0.3">
      <c r="A660" s="555" t="s">
        <v>3192</v>
      </c>
      <c r="B660" s="205" t="s">
        <v>3026</v>
      </c>
      <c r="C660" s="252" t="s">
        <v>4224</v>
      </c>
      <c r="D660" s="528">
        <v>47.8652728</v>
      </c>
      <c r="E660" s="528">
        <v>3.6079823000000002</v>
      </c>
      <c r="F660" s="511">
        <f t="shared" si="22"/>
        <v>4625</v>
      </c>
      <c r="G660" s="522">
        <v>4718</v>
      </c>
      <c r="H660" s="523">
        <v>4532</v>
      </c>
      <c r="I660" s="225" t="s">
        <v>559</v>
      </c>
      <c r="J660" s="612" t="s">
        <v>69</v>
      </c>
      <c r="K660" s="417" t="s">
        <v>3011</v>
      </c>
      <c r="L660" s="595" t="s">
        <v>14</v>
      </c>
      <c r="M660" s="370" t="s">
        <v>3231</v>
      </c>
      <c r="N660" s="645"/>
      <c r="O660" s="339"/>
    </row>
    <row r="661" spans="1:15" s="100" customFormat="1" ht="13.9" customHeight="1" thickBot="1" x14ac:dyDescent="0.3">
      <c r="A661" s="555" t="s">
        <v>3192</v>
      </c>
      <c r="B661" s="205" t="s">
        <v>3026</v>
      </c>
      <c r="C661" s="252" t="s">
        <v>4224</v>
      </c>
      <c r="D661" s="528">
        <v>47.8652728</v>
      </c>
      <c r="E661" s="528">
        <v>3.6079823000000002</v>
      </c>
      <c r="F661" s="511">
        <f t="shared" si="22"/>
        <v>4581.2857142857138</v>
      </c>
      <c r="G661" s="522">
        <v>4685.7142857142853</v>
      </c>
      <c r="H661" s="523">
        <v>4476.8571428571431</v>
      </c>
      <c r="I661" s="227" t="s">
        <v>43</v>
      </c>
      <c r="J661" s="612" t="s">
        <v>69</v>
      </c>
      <c r="K661" s="417" t="s">
        <v>3011</v>
      </c>
      <c r="L661" s="595" t="s">
        <v>69</v>
      </c>
      <c r="M661" s="370" t="s">
        <v>3232</v>
      </c>
      <c r="N661" s="645"/>
      <c r="O661" s="205" t="s">
        <v>3062</v>
      </c>
    </row>
    <row r="662" spans="1:15" s="100" customFormat="1" ht="13.9" customHeight="1" x14ac:dyDescent="0.25">
      <c r="A662" s="555" t="s">
        <v>3192</v>
      </c>
      <c r="B662" s="205" t="s">
        <v>3026</v>
      </c>
      <c r="C662" s="252" t="s">
        <v>4224</v>
      </c>
      <c r="D662" s="528">
        <v>47.8652728</v>
      </c>
      <c r="E662" s="528">
        <v>3.6079823000000002</v>
      </c>
      <c r="F662" s="511">
        <f t="shared" si="22"/>
        <v>4581.2857142857138</v>
      </c>
      <c r="G662" s="522">
        <v>4685.7142857142853</v>
      </c>
      <c r="H662" s="523">
        <v>4476.8571428571431</v>
      </c>
      <c r="I662" s="228" t="s">
        <v>13</v>
      </c>
      <c r="J662" s="612" t="s">
        <v>69</v>
      </c>
      <c r="K662" s="417" t="s">
        <v>3011</v>
      </c>
      <c r="L662" s="595" t="s">
        <v>69</v>
      </c>
      <c r="M662" s="370" t="s">
        <v>3233</v>
      </c>
      <c r="N662" s="645"/>
      <c r="O662" s="205" t="s">
        <v>3062</v>
      </c>
    </row>
    <row r="663" spans="1:15" s="100" customFormat="1" ht="13.9" customHeight="1" x14ac:dyDescent="0.25">
      <c r="A663" s="555" t="s">
        <v>3192</v>
      </c>
      <c r="B663" s="205" t="s">
        <v>3026</v>
      </c>
      <c r="C663" s="252" t="s">
        <v>4224</v>
      </c>
      <c r="D663" s="528">
        <v>47.8652728</v>
      </c>
      <c r="E663" s="528">
        <v>3.6079823000000002</v>
      </c>
      <c r="F663" s="511">
        <f t="shared" si="22"/>
        <v>4581.2857142857138</v>
      </c>
      <c r="G663" s="522">
        <v>4685.7142857142853</v>
      </c>
      <c r="H663" s="523">
        <v>4476.8571428571431</v>
      </c>
      <c r="I663" s="228" t="s">
        <v>559</v>
      </c>
      <c r="J663" s="612" t="s">
        <v>69</v>
      </c>
      <c r="K663" s="417" t="s">
        <v>3011</v>
      </c>
      <c r="L663" s="595" t="s">
        <v>2</v>
      </c>
      <c r="M663" s="370" t="s">
        <v>3234</v>
      </c>
      <c r="N663" s="645"/>
      <c r="O663" s="205" t="s">
        <v>3062</v>
      </c>
    </row>
    <row r="664" spans="1:15" s="100" customFormat="1" ht="13.9" customHeight="1" x14ac:dyDescent="0.25">
      <c r="A664" s="555" t="s">
        <v>3192</v>
      </c>
      <c r="B664" s="205" t="s">
        <v>3026</v>
      </c>
      <c r="C664" s="252" t="s">
        <v>4224</v>
      </c>
      <c r="D664" s="528">
        <v>47.8652728</v>
      </c>
      <c r="E664" s="528">
        <v>3.6079823000000002</v>
      </c>
      <c r="F664" s="511">
        <f t="shared" si="22"/>
        <v>4581.2857142857138</v>
      </c>
      <c r="G664" s="522">
        <v>4685.7142857142853</v>
      </c>
      <c r="H664" s="523">
        <v>4476.8571428571431</v>
      </c>
      <c r="I664" s="228" t="s">
        <v>3</v>
      </c>
      <c r="J664" s="612" t="s">
        <v>69</v>
      </c>
      <c r="K664" s="417" t="s">
        <v>3011</v>
      </c>
      <c r="L664" s="595" t="s">
        <v>2</v>
      </c>
      <c r="M664" s="614" t="s">
        <v>3247</v>
      </c>
      <c r="N664" s="645"/>
      <c r="O664" s="205" t="s">
        <v>3062</v>
      </c>
    </row>
    <row r="665" spans="1:15" s="100" customFormat="1" ht="13.9" customHeight="1" x14ac:dyDescent="0.25">
      <c r="A665" s="555" t="s">
        <v>3192</v>
      </c>
      <c r="B665" s="205" t="s">
        <v>3026</v>
      </c>
      <c r="C665" s="252" t="s">
        <v>4224</v>
      </c>
      <c r="D665" s="528">
        <v>47.8652728</v>
      </c>
      <c r="E665" s="528">
        <v>3.6079823000000002</v>
      </c>
      <c r="F665" s="511">
        <f t="shared" si="22"/>
        <v>4581.2857142857138</v>
      </c>
      <c r="G665" s="522">
        <v>4685.7142857142853</v>
      </c>
      <c r="H665" s="523">
        <v>4476.8571428571431</v>
      </c>
      <c r="I665" s="228" t="s">
        <v>1560</v>
      </c>
      <c r="J665" s="612" t="s">
        <v>69</v>
      </c>
      <c r="K665" s="417" t="s">
        <v>3011</v>
      </c>
      <c r="L665" s="615" t="s">
        <v>69</v>
      </c>
      <c r="M665" s="370" t="s">
        <v>3235</v>
      </c>
      <c r="N665" s="645" t="s">
        <v>972</v>
      </c>
      <c r="O665" s="205" t="s">
        <v>3062</v>
      </c>
    </row>
    <row r="666" spans="1:15" s="100" customFormat="1" ht="13.9" customHeight="1" x14ac:dyDescent="0.25">
      <c r="A666" s="555" t="s">
        <v>3192</v>
      </c>
      <c r="B666" s="205" t="s">
        <v>3026</v>
      </c>
      <c r="C666" s="252" t="s">
        <v>4224</v>
      </c>
      <c r="D666" s="528">
        <v>47.8652728</v>
      </c>
      <c r="E666" s="528">
        <v>3.6079823000000002</v>
      </c>
      <c r="F666" s="511">
        <f t="shared" si="22"/>
        <v>4581.2857142857138</v>
      </c>
      <c r="G666" s="522">
        <v>4685.7142857142853</v>
      </c>
      <c r="H666" s="523">
        <v>4476.8571428571431</v>
      </c>
      <c r="I666" s="229" t="s">
        <v>34</v>
      </c>
      <c r="J666" s="612" t="s">
        <v>69</v>
      </c>
      <c r="K666" s="417" t="s">
        <v>3011</v>
      </c>
      <c r="L666" s="595" t="s">
        <v>69</v>
      </c>
      <c r="M666" s="370" t="s">
        <v>3236</v>
      </c>
      <c r="N666" s="645"/>
      <c r="O666" s="205" t="s">
        <v>3062</v>
      </c>
    </row>
    <row r="667" spans="1:15" s="100" customFormat="1" ht="13.9" customHeight="1" thickBot="1" x14ac:dyDescent="0.3">
      <c r="A667" s="555" t="s">
        <v>3192</v>
      </c>
      <c r="B667" s="205" t="s">
        <v>3026</v>
      </c>
      <c r="C667" s="252" t="s">
        <v>4224</v>
      </c>
      <c r="D667" s="528">
        <v>47.8652728</v>
      </c>
      <c r="E667" s="528">
        <v>3.6079823000000002</v>
      </c>
      <c r="F667" s="511">
        <f t="shared" si="22"/>
        <v>4581.2857142857138</v>
      </c>
      <c r="G667" s="522">
        <v>4685.7142857142853</v>
      </c>
      <c r="H667" s="523">
        <v>4476.8571428571431</v>
      </c>
      <c r="I667" s="228" t="s">
        <v>559</v>
      </c>
      <c r="J667" s="612" t="s">
        <v>69</v>
      </c>
      <c r="K667" s="417" t="s">
        <v>3011</v>
      </c>
      <c r="L667" s="595" t="s">
        <v>69</v>
      </c>
      <c r="M667" s="370" t="s">
        <v>3237</v>
      </c>
      <c r="N667" s="645"/>
      <c r="O667" s="205" t="s">
        <v>3062</v>
      </c>
    </row>
    <row r="668" spans="1:15" s="100" customFormat="1" ht="13.9" customHeight="1" thickBot="1" x14ac:dyDescent="0.3">
      <c r="A668" s="555" t="s">
        <v>3192</v>
      </c>
      <c r="B668" s="205" t="s">
        <v>3026</v>
      </c>
      <c r="C668" s="252" t="s">
        <v>4224</v>
      </c>
      <c r="D668" s="528">
        <v>47.8652728</v>
      </c>
      <c r="E668" s="528">
        <v>3.6079823000000002</v>
      </c>
      <c r="F668" s="511">
        <f t="shared" si="22"/>
        <v>4581.2857142857138</v>
      </c>
      <c r="G668" s="522">
        <v>4685.7142857142853</v>
      </c>
      <c r="H668" s="523">
        <v>4476.8571428571431</v>
      </c>
      <c r="I668" s="226" t="s">
        <v>43</v>
      </c>
      <c r="J668" s="612" t="s">
        <v>69</v>
      </c>
      <c r="K668" s="417" t="s">
        <v>3011</v>
      </c>
      <c r="L668" s="595" t="s">
        <v>14</v>
      </c>
      <c r="M668" s="370" t="s">
        <v>3238</v>
      </c>
      <c r="N668" s="645" t="s">
        <v>972</v>
      </c>
      <c r="O668" s="205" t="s">
        <v>3062</v>
      </c>
    </row>
    <row r="669" spans="1:15" s="100" customFormat="1" ht="13.9" customHeight="1" x14ac:dyDescent="0.25">
      <c r="A669" s="555" t="s">
        <v>3192</v>
      </c>
      <c r="B669" s="205" t="s">
        <v>3026</v>
      </c>
      <c r="C669" s="252" t="s">
        <v>4224</v>
      </c>
      <c r="D669" s="528">
        <v>47.8652728</v>
      </c>
      <c r="E669" s="528">
        <v>3.6079823000000002</v>
      </c>
      <c r="F669" s="511">
        <f t="shared" si="22"/>
        <v>4581.2857142857138</v>
      </c>
      <c r="G669" s="522">
        <v>4685.7142857142853</v>
      </c>
      <c r="H669" s="523">
        <v>4476.8571428571431</v>
      </c>
      <c r="I669" s="225" t="s">
        <v>10</v>
      </c>
      <c r="J669" s="612" t="s">
        <v>69</v>
      </c>
      <c r="K669" s="417" t="s">
        <v>3011</v>
      </c>
      <c r="L669" s="595" t="s">
        <v>69</v>
      </c>
      <c r="M669" s="370" t="s">
        <v>3239</v>
      </c>
      <c r="N669" s="645" t="s">
        <v>972</v>
      </c>
      <c r="O669" s="205" t="s">
        <v>3062</v>
      </c>
    </row>
    <row r="670" spans="1:15" s="100" customFormat="1" ht="13.9" customHeight="1" x14ac:dyDescent="0.25">
      <c r="A670" s="555" t="s">
        <v>3192</v>
      </c>
      <c r="B670" s="205" t="s">
        <v>3026</v>
      </c>
      <c r="C670" s="252" t="s">
        <v>4224</v>
      </c>
      <c r="D670" s="528">
        <v>47.8652728</v>
      </c>
      <c r="E670" s="528">
        <v>3.6079823000000002</v>
      </c>
      <c r="F670" s="511">
        <f t="shared" si="22"/>
        <v>4581.2857142857138</v>
      </c>
      <c r="G670" s="522">
        <v>4685.7142857142853</v>
      </c>
      <c r="H670" s="523">
        <v>4476.8571428571431</v>
      </c>
      <c r="I670" s="225" t="s">
        <v>105</v>
      </c>
      <c r="J670" s="612" t="s">
        <v>69</v>
      </c>
      <c r="K670" s="417" t="s">
        <v>3011</v>
      </c>
      <c r="L670" s="595" t="s">
        <v>69</v>
      </c>
      <c r="M670" s="370" t="s">
        <v>3240</v>
      </c>
      <c r="N670" s="645"/>
      <c r="O670" s="205" t="s">
        <v>3062</v>
      </c>
    </row>
    <row r="671" spans="1:15" s="100" customFormat="1" ht="13.9" customHeight="1" x14ac:dyDescent="0.25">
      <c r="A671" s="555" t="s">
        <v>3192</v>
      </c>
      <c r="B671" s="205" t="s">
        <v>3026</v>
      </c>
      <c r="C671" s="252" t="s">
        <v>4224</v>
      </c>
      <c r="D671" s="528">
        <v>47.8652728</v>
      </c>
      <c r="E671" s="528">
        <v>3.6079823000000002</v>
      </c>
      <c r="F671" s="511">
        <f t="shared" si="22"/>
        <v>4581.2857142857138</v>
      </c>
      <c r="G671" s="522">
        <v>4685.7142857142853</v>
      </c>
      <c r="H671" s="523">
        <v>4476.8571428571431</v>
      </c>
      <c r="I671" s="225" t="s">
        <v>559</v>
      </c>
      <c r="J671" s="612" t="s">
        <v>69</v>
      </c>
      <c r="K671" s="417" t="s">
        <v>3011</v>
      </c>
      <c r="L671" s="595" t="s">
        <v>2</v>
      </c>
      <c r="M671" s="370" t="s">
        <v>3241</v>
      </c>
      <c r="N671" s="645"/>
      <c r="O671" s="205" t="s">
        <v>3062</v>
      </c>
    </row>
    <row r="672" spans="1:15" s="100" customFormat="1" ht="13.9" customHeight="1" x14ac:dyDescent="0.25">
      <c r="A672" s="555" t="s">
        <v>3192</v>
      </c>
      <c r="B672" s="205" t="s">
        <v>3026</v>
      </c>
      <c r="C672" s="252" t="s">
        <v>4224</v>
      </c>
      <c r="D672" s="528">
        <v>47.8652728</v>
      </c>
      <c r="E672" s="528">
        <v>3.6079823000000002</v>
      </c>
      <c r="F672" s="511">
        <f t="shared" si="22"/>
        <v>4581.2857142857138</v>
      </c>
      <c r="G672" s="522">
        <v>4685.7142857142853</v>
      </c>
      <c r="H672" s="523">
        <v>4476.8571428571431</v>
      </c>
      <c r="I672" s="222" t="s">
        <v>34</v>
      </c>
      <c r="J672" s="612" t="s">
        <v>69</v>
      </c>
      <c r="K672" s="417" t="s">
        <v>3011</v>
      </c>
      <c r="L672" s="595" t="s">
        <v>69</v>
      </c>
      <c r="M672" s="370" t="s">
        <v>3242</v>
      </c>
      <c r="N672" s="645"/>
      <c r="O672" s="205" t="s">
        <v>3062</v>
      </c>
    </row>
    <row r="673" spans="1:15" s="100" customFormat="1" ht="13.9" customHeight="1" x14ac:dyDescent="0.25">
      <c r="A673" s="555" t="s">
        <v>3192</v>
      </c>
      <c r="B673" s="205" t="s">
        <v>3026</v>
      </c>
      <c r="C673" s="252" t="s">
        <v>4224</v>
      </c>
      <c r="D673" s="528">
        <v>47.8652728</v>
      </c>
      <c r="E673" s="528">
        <v>3.6079823000000002</v>
      </c>
      <c r="F673" s="511">
        <f t="shared" si="22"/>
        <v>4581.2857142857138</v>
      </c>
      <c r="G673" s="522">
        <v>4685.7142857142853</v>
      </c>
      <c r="H673" s="523">
        <v>4476.8571428571431</v>
      </c>
      <c r="I673" s="225" t="s">
        <v>9</v>
      </c>
      <c r="J673" s="612" t="s">
        <v>69</v>
      </c>
      <c r="K673" s="417" t="s">
        <v>3011</v>
      </c>
      <c r="L673" s="595" t="s">
        <v>69</v>
      </c>
      <c r="M673" s="370" t="s">
        <v>3243</v>
      </c>
      <c r="N673" s="645"/>
      <c r="O673" s="205" t="s">
        <v>3062</v>
      </c>
    </row>
    <row r="674" spans="1:15" s="100" customFormat="1" ht="13.9" customHeight="1" x14ac:dyDescent="0.25">
      <c r="A674" s="555" t="s">
        <v>3192</v>
      </c>
      <c r="B674" s="205" t="s">
        <v>3026</v>
      </c>
      <c r="C674" s="252" t="s">
        <v>4224</v>
      </c>
      <c r="D674" s="528">
        <v>47.8652728</v>
      </c>
      <c r="E674" s="528">
        <v>3.6079823000000002</v>
      </c>
      <c r="F674" s="511">
        <f t="shared" si="22"/>
        <v>4581.2857142857138</v>
      </c>
      <c r="G674" s="522">
        <v>4685.7142857142853</v>
      </c>
      <c r="H674" s="523">
        <v>4476.8571428571431</v>
      </c>
      <c r="I674" s="225" t="s">
        <v>18</v>
      </c>
      <c r="J674" s="612" t="s">
        <v>69</v>
      </c>
      <c r="K674" s="417" t="s">
        <v>3011</v>
      </c>
      <c r="L674" s="595" t="s">
        <v>69</v>
      </c>
      <c r="M674" s="370" t="s">
        <v>3244</v>
      </c>
      <c r="N674" s="645"/>
      <c r="O674" s="205" t="s">
        <v>3062</v>
      </c>
    </row>
    <row r="675" spans="1:15" s="100" customFormat="1" ht="13.9" customHeight="1" x14ac:dyDescent="0.25">
      <c r="A675" s="555" t="s">
        <v>3192</v>
      </c>
      <c r="B675" s="205" t="s">
        <v>3026</v>
      </c>
      <c r="C675" s="252" t="s">
        <v>4224</v>
      </c>
      <c r="D675" s="528">
        <v>47.8652728</v>
      </c>
      <c r="E675" s="528">
        <v>3.6079823000000002</v>
      </c>
      <c r="F675" s="511">
        <f t="shared" si="22"/>
        <v>4829</v>
      </c>
      <c r="G675" s="522">
        <v>4943</v>
      </c>
      <c r="H675" s="523">
        <v>4715</v>
      </c>
      <c r="I675" s="225" t="s">
        <v>559</v>
      </c>
      <c r="J675" s="612" t="s">
        <v>69</v>
      </c>
      <c r="K675" s="417" t="s">
        <v>3011</v>
      </c>
      <c r="L675" s="595" t="s">
        <v>2</v>
      </c>
      <c r="M675" s="370" t="s">
        <v>3245</v>
      </c>
      <c r="N675" s="645"/>
      <c r="O675" s="339"/>
    </row>
    <row r="676" spans="1:15" s="100" customFormat="1" ht="13.9" customHeight="1" x14ac:dyDescent="0.25">
      <c r="A676" s="555" t="s">
        <v>3192</v>
      </c>
      <c r="B676" s="205" t="s">
        <v>3026</v>
      </c>
      <c r="C676" s="252" t="s">
        <v>4224</v>
      </c>
      <c r="D676" s="528">
        <v>47.8652728</v>
      </c>
      <c r="E676" s="528">
        <v>3.6079823000000002</v>
      </c>
      <c r="F676" s="511">
        <f t="shared" si="22"/>
        <v>4581.2857142857138</v>
      </c>
      <c r="G676" s="522">
        <v>4685.7142857142853</v>
      </c>
      <c r="H676" s="523">
        <v>4476.8571428571431</v>
      </c>
      <c r="I676" s="190" t="s">
        <v>559</v>
      </c>
      <c r="J676" s="612" t="s">
        <v>69</v>
      </c>
      <c r="K676" s="417" t="s">
        <v>3011</v>
      </c>
      <c r="L676" s="595" t="s">
        <v>69</v>
      </c>
      <c r="M676" s="370" t="s">
        <v>3246</v>
      </c>
      <c r="N676" s="645"/>
      <c r="O676" s="205" t="s">
        <v>3062</v>
      </c>
    </row>
    <row r="677" spans="1:15" s="100" customFormat="1" ht="13.15" customHeight="1" x14ac:dyDescent="0.25">
      <c r="A677" s="555" t="s">
        <v>3141</v>
      </c>
      <c r="B677" s="557" t="s">
        <v>3010</v>
      </c>
      <c r="C677" s="252" t="s">
        <v>4224</v>
      </c>
      <c r="D677" s="90">
        <v>48.46</v>
      </c>
      <c r="E677" s="90">
        <v>7.48</v>
      </c>
      <c r="F677" s="116">
        <v>4660.7</v>
      </c>
      <c r="G677" s="197">
        <v>4761.5</v>
      </c>
      <c r="H677" s="197">
        <v>4559.8999999999996</v>
      </c>
      <c r="I677" s="190" t="s">
        <v>559</v>
      </c>
      <c r="J677" s="612" t="s">
        <v>69</v>
      </c>
      <c r="K677" s="417" t="s">
        <v>3011</v>
      </c>
      <c r="L677" s="595" t="s">
        <v>69</v>
      </c>
      <c r="M677" s="597" t="s">
        <v>3144</v>
      </c>
      <c r="N677" s="645" t="s">
        <v>972</v>
      </c>
      <c r="O677" s="340" t="s">
        <v>3248</v>
      </c>
    </row>
    <row r="678" spans="1:15" s="100" customFormat="1" ht="13.15" customHeight="1" x14ac:dyDescent="0.25">
      <c r="A678" s="555" t="s">
        <v>3141</v>
      </c>
      <c r="B678" s="557" t="s">
        <v>3010</v>
      </c>
      <c r="C678" s="252" t="s">
        <v>4224</v>
      </c>
      <c r="D678" s="90">
        <v>48.46</v>
      </c>
      <c r="E678" s="90">
        <v>7.48</v>
      </c>
      <c r="F678" s="116">
        <v>4660.7</v>
      </c>
      <c r="G678" s="197">
        <v>4761.5</v>
      </c>
      <c r="H678" s="197">
        <v>4559.8999999999996</v>
      </c>
      <c r="I678" s="190" t="s">
        <v>559</v>
      </c>
      <c r="J678" s="612" t="s">
        <v>69</v>
      </c>
      <c r="K678" s="417" t="s">
        <v>3011</v>
      </c>
      <c r="L678" s="595" t="s">
        <v>69</v>
      </c>
      <c r="M678" s="597" t="s">
        <v>3144</v>
      </c>
      <c r="N678" s="645" t="s">
        <v>972</v>
      </c>
      <c r="O678" s="340" t="s">
        <v>3248</v>
      </c>
    </row>
    <row r="679" spans="1:15" s="100" customFormat="1" ht="15" customHeight="1" x14ac:dyDescent="0.25">
      <c r="A679" s="555" t="s">
        <v>3141</v>
      </c>
      <c r="B679" s="557" t="s">
        <v>3010</v>
      </c>
      <c r="C679" s="252" t="s">
        <v>4224</v>
      </c>
      <c r="D679" s="90">
        <v>48.46</v>
      </c>
      <c r="E679" s="90">
        <v>7.48</v>
      </c>
      <c r="F679" s="116">
        <v>4660.7</v>
      </c>
      <c r="G679" s="197">
        <v>4761.5</v>
      </c>
      <c r="H679" s="197">
        <v>4559.8999999999996</v>
      </c>
      <c r="I679" s="190" t="s">
        <v>559</v>
      </c>
      <c r="J679" s="612" t="s">
        <v>69</v>
      </c>
      <c r="K679" s="417" t="s">
        <v>3011</v>
      </c>
      <c r="L679" s="595" t="s">
        <v>69</v>
      </c>
      <c r="M679" s="597" t="s">
        <v>3143</v>
      </c>
      <c r="N679" s="645" t="s">
        <v>972</v>
      </c>
      <c r="O679" s="340" t="s">
        <v>3248</v>
      </c>
    </row>
    <row r="680" spans="1:15" s="100" customFormat="1" ht="15" customHeight="1" thickBot="1" x14ac:dyDescent="0.3">
      <c r="A680" s="555" t="s">
        <v>3141</v>
      </c>
      <c r="B680" s="557" t="s">
        <v>3010</v>
      </c>
      <c r="C680" s="252" t="s">
        <v>4224</v>
      </c>
      <c r="D680" s="90">
        <v>48.46</v>
      </c>
      <c r="E680" s="90">
        <v>7.48</v>
      </c>
      <c r="F680" s="322">
        <f>(G680+H680)/2</f>
        <v>4553.5</v>
      </c>
      <c r="G680" s="321">
        <v>4651</v>
      </c>
      <c r="H680" s="321">
        <v>4456</v>
      </c>
      <c r="I680" s="190" t="s">
        <v>5</v>
      </c>
      <c r="J680" s="612" t="s">
        <v>69</v>
      </c>
      <c r="K680" s="417" t="s">
        <v>3011</v>
      </c>
      <c r="L680" s="595" t="s">
        <v>69</v>
      </c>
      <c r="M680" s="597" t="s">
        <v>3188</v>
      </c>
      <c r="N680" s="645" t="s">
        <v>972</v>
      </c>
      <c r="O680" s="340"/>
    </row>
    <row r="681" spans="1:15" s="100" customFormat="1" ht="13.15" customHeight="1" thickBot="1" x14ac:dyDescent="0.3">
      <c r="A681" s="555" t="s">
        <v>3141</v>
      </c>
      <c r="B681" s="557" t="s">
        <v>3010</v>
      </c>
      <c r="C681" s="252" t="s">
        <v>4224</v>
      </c>
      <c r="D681" s="90">
        <v>48.46</v>
      </c>
      <c r="E681" s="90">
        <v>7.48</v>
      </c>
      <c r="F681" s="116">
        <v>4660.7</v>
      </c>
      <c r="G681" s="197">
        <v>4761.5</v>
      </c>
      <c r="H681" s="197">
        <v>4559.8999999999996</v>
      </c>
      <c r="I681" s="175" t="s">
        <v>6</v>
      </c>
      <c r="J681" s="612" t="s">
        <v>69</v>
      </c>
      <c r="K681" s="417" t="s">
        <v>3011</v>
      </c>
      <c r="L681" s="595" t="s">
        <v>69</v>
      </c>
      <c r="M681" s="325" t="s">
        <v>3182</v>
      </c>
      <c r="N681" s="645" t="s">
        <v>972</v>
      </c>
      <c r="O681" s="340" t="s">
        <v>3248</v>
      </c>
    </row>
    <row r="682" spans="1:15" s="100" customFormat="1" ht="13.15" customHeight="1" x14ac:dyDescent="0.25">
      <c r="A682" s="555" t="s">
        <v>3141</v>
      </c>
      <c r="B682" s="557" t="s">
        <v>3010</v>
      </c>
      <c r="C682" s="252" t="s">
        <v>4224</v>
      </c>
      <c r="D682" s="90">
        <v>48.46</v>
      </c>
      <c r="E682" s="90">
        <v>7.48</v>
      </c>
      <c r="F682" s="322">
        <v>4660.7</v>
      </c>
      <c r="G682" s="321">
        <v>4761.5</v>
      </c>
      <c r="H682" s="321">
        <v>4559.8999999999996</v>
      </c>
      <c r="I682" s="224" t="s">
        <v>5</v>
      </c>
      <c r="J682" s="612" t="s">
        <v>69</v>
      </c>
      <c r="K682" s="417" t="s">
        <v>3011</v>
      </c>
      <c r="L682" s="595" t="s">
        <v>69</v>
      </c>
      <c r="M682" s="325" t="s">
        <v>3183</v>
      </c>
      <c r="N682" s="645" t="s">
        <v>972</v>
      </c>
      <c r="O682" s="340" t="s">
        <v>3248</v>
      </c>
    </row>
    <row r="683" spans="1:15" s="100" customFormat="1" ht="13.15" customHeight="1" x14ac:dyDescent="0.25">
      <c r="A683" s="555" t="s">
        <v>3141</v>
      </c>
      <c r="B683" s="557" t="s">
        <v>3010</v>
      </c>
      <c r="C683" s="252" t="s">
        <v>4224</v>
      </c>
      <c r="D683" s="90">
        <v>48.46</v>
      </c>
      <c r="E683" s="90">
        <v>7.48</v>
      </c>
      <c r="F683" s="322">
        <v>4660.7</v>
      </c>
      <c r="G683" s="321">
        <v>4761.5</v>
      </c>
      <c r="H683" s="321">
        <v>4559.8999999999996</v>
      </c>
      <c r="I683" s="196" t="s">
        <v>32</v>
      </c>
      <c r="J683" s="612" t="s">
        <v>69</v>
      </c>
      <c r="K683" s="417" t="s">
        <v>3011</v>
      </c>
      <c r="L683" s="595" t="s">
        <v>69</v>
      </c>
      <c r="M683" s="325" t="s">
        <v>3184</v>
      </c>
      <c r="N683" s="645" t="s">
        <v>972</v>
      </c>
      <c r="O683" s="340" t="s">
        <v>3248</v>
      </c>
    </row>
    <row r="684" spans="1:15" s="100" customFormat="1" ht="13.15" customHeight="1" x14ac:dyDescent="0.25">
      <c r="A684" s="555" t="s">
        <v>3141</v>
      </c>
      <c r="B684" s="557" t="s">
        <v>3010</v>
      </c>
      <c r="C684" s="252" t="s">
        <v>4224</v>
      </c>
      <c r="D684" s="90">
        <v>48.46</v>
      </c>
      <c r="E684" s="90">
        <v>7.48</v>
      </c>
      <c r="F684" s="322">
        <v>4660.7</v>
      </c>
      <c r="G684" s="321">
        <v>4761.5</v>
      </c>
      <c r="H684" s="321">
        <v>4559.8999999999996</v>
      </c>
      <c r="I684" s="196" t="s">
        <v>130</v>
      </c>
      <c r="J684" s="612" t="s">
        <v>69</v>
      </c>
      <c r="K684" s="417" t="s">
        <v>3011</v>
      </c>
      <c r="L684" s="595" t="s">
        <v>69</v>
      </c>
      <c r="M684" s="325" t="s">
        <v>3185</v>
      </c>
      <c r="N684" s="645" t="s">
        <v>972</v>
      </c>
      <c r="O684" s="340" t="s">
        <v>3248</v>
      </c>
    </row>
    <row r="685" spans="1:15" s="100" customFormat="1" ht="13.15" customHeight="1" x14ac:dyDescent="0.25">
      <c r="A685" s="555" t="s">
        <v>3141</v>
      </c>
      <c r="B685" s="557" t="s">
        <v>3010</v>
      </c>
      <c r="C685" s="252" t="s">
        <v>4224</v>
      </c>
      <c r="D685" s="90">
        <v>48.46</v>
      </c>
      <c r="E685" s="90">
        <v>7.48</v>
      </c>
      <c r="F685" s="322">
        <v>4660.7</v>
      </c>
      <c r="G685" s="321">
        <v>4761.5</v>
      </c>
      <c r="H685" s="321">
        <v>4559.8999999999996</v>
      </c>
      <c r="I685" s="223" t="s">
        <v>32</v>
      </c>
      <c r="J685" s="612" t="s">
        <v>69</v>
      </c>
      <c r="K685" s="417" t="s">
        <v>3011</v>
      </c>
      <c r="L685" s="595" t="s">
        <v>69</v>
      </c>
      <c r="M685" s="388" t="s">
        <v>3186</v>
      </c>
      <c r="N685" s="645" t="s">
        <v>972</v>
      </c>
      <c r="O685" s="340" t="s">
        <v>3248</v>
      </c>
    </row>
    <row r="686" spans="1:15" s="100" customFormat="1" ht="13.15" customHeight="1" x14ac:dyDescent="0.25">
      <c r="A686" s="555" t="s">
        <v>3141</v>
      </c>
      <c r="B686" s="557" t="s">
        <v>3010</v>
      </c>
      <c r="C686" s="252" t="s">
        <v>4224</v>
      </c>
      <c r="D686" s="90">
        <v>48.46</v>
      </c>
      <c r="E686" s="90">
        <v>7.48</v>
      </c>
      <c r="F686" s="322">
        <v>4660.7</v>
      </c>
      <c r="G686" s="321">
        <v>4761.5</v>
      </c>
      <c r="H686" s="321">
        <v>4559.8999999999996</v>
      </c>
      <c r="I686" s="222" t="s">
        <v>86</v>
      </c>
      <c r="J686" s="612" t="s">
        <v>69</v>
      </c>
      <c r="K686" s="417" t="s">
        <v>3011</v>
      </c>
      <c r="L686" s="595" t="s">
        <v>14</v>
      </c>
      <c r="M686" s="325" t="s">
        <v>3187</v>
      </c>
      <c r="N686" s="645" t="s">
        <v>972</v>
      </c>
      <c r="O686" s="340" t="s">
        <v>3248</v>
      </c>
    </row>
    <row r="687" spans="1:15" s="100" customFormat="1" ht="13.15" customHeight="1" x14ac:dyDescent="0.25">
      <c r="A687" s="555" t="s">
        <v>3252</v>
      </c>
      <c r="B687" s="557" t="s">
        <v>3258</v>
      </c>
      <c r="C687" s="252" t="s">
        <v>4224</v>
      </c>
      <c r="D687" s="90">
        <v>46.993170999999997</v>
      </c>
      <c r="E687" s="90">
        <v>0.56991199999999997</v>
      </c>
      <c r="F687" s="534">
        <v>4535</v>
      </c>
      <c r="G687" s="90">
        <v>4720</v>
      </c>
      <c r="H687" s="90">
        <v>4350</v>
      </c>
      <c r="I687" s="222" t="s">
        <v>43</v>
      </c>
      <c r="J687" s="612" t="s">
        <v>69</v>
      </c>
      <c r="K687" s="417" t="s">
        <v>170</v>
      </c>
      <c r="L687" s="595" t="s">
        <v>69</v>
      </c>
      <c r="M687" s="325" t="s">
        <v>3254</v>
      </c>
      <c r="N687" s="649" t="s">
        <v>3256</v>
      </c>
      <c r="O687" s="340" t="s">
        <v>3257</v>
      </c>
    </row>
    <row r="688" spans="1:15" s="100" customFormat="1" ht="13.15" customHeight="1" x14ac:dyDescent="0.25">
      <c r="A688" s="555" t="s">
        <v>3252</v>
      </c>
      <c r="B688" s="557" t="s">
        <v>3258</v>
      </c>
      <c r="C688" s="252" t="s">
        <v>4224</v>
      </c>
      <c r="D688" s="90">
        <v>46.993170999999997</v>
      </c>
      <c r="E688" s="90">
        <v>0.56991199999999997</v>
      </c>
      <c r="F688" s="534">
        <v>4535</v>
      </c>
      <c r="G688" s="90">
        <v>4720</v>
      </c>
      <c r="H688" s="90">
        <v>4350</v>
      </c>
      <c r="I688" s="222" t="s">
        <v>18</v>
      </c>
      <c r="J688" s="612" t="s">
        <v>69</v>
      </c>
      <c r="K688" s="417" t="s">
        <v>170</v>
      </c>
      <c r="L688" s="595" t="s">
        <v>69</v>
      </c>
      <c r="M688" s="325" t="s">
        <v>3253</v>
      </c>
      <c r="N688" s="650" t="s">
        <v>3255</v>
      </c>
      <c r="O688" s="340" t="s">
        <v>3257</v>
      </c>
    </row>
    <row r="689" spans="1:15" s="45" customFormat="1" x14ac:dyDescent="0.25">
      <c r="A689" s="189" t="s">
        <v>916</v>
      </c>
      <c r="B689" s="205" t="s">
        <v>3014</v>
      </c>
      <c r="C689" s="252" t="s">
        <v>4224</v>
      </c>
      <c r="D689" s="17">
        <v>49.19</v>
      </c>
      <c r="E689" s="17">
        <v>-0.38</v>
      </c>
      <c r="F689" s="116">
        <f>(G689+H689)/2</f>
        <v>4310</v>
      </c>
      <c r="G689" s="197">
        <v>4345</v>
      </c>
      <c r="H689" s="192">
        <v>4275</v>
      </c>
      <c r="I689" s="202" t="s">
        <v>3013</v>
      </c>
      <c r="J689" s="398" t="s">
        <v>264</v>
      </c>
      <c r="K689" s="417" t="s">
        <v>3011</v>
      </c>
      <c r="L689" s="17" t="s">
        <v>14</v>
      </c>
      <c r="M689" s="87" t="s">
        <v>3012</v>
      </c>
      <c r="N689" s="230"/>
      <c r="O689" s="206"/>
    </row>
    <row r="690" spans="1:15" s="45" customFormat="1" x14ac:dyDescent="0.25">
      <c r="A690" s="189" t="s">
        <v>916</v>
      </c>
      <c r="B690" s="205" t="s">
        <v>3014</v>
      </c>
      <c r="C690" s="252" t="s">
        <v>4224</v>
      </c>
      <c r="D690" s="17">
        <v>49.19</v>
      </c>
      <c r="E690" s="17">
        <v>-0.38</v>
      </c>
      <c r="F690" s="116">
        <f t="shared" ref="F690:F698" si="23">(G690+H690)/2</f>
        <v>4005</v>
      </c>
      <c r="G690" s="323">
        <v>4045</v>
      </c>
      <c r="H690" s="323">
        <v>3965</v>
      </c>
      <c r="I690" s="202" t="s">
        <v>81</v>
      </c>
      <c r="J690" s="398" t="s">
        <v>264</v>
      </c>
      <c r="K690" s="417" t="s">
        <v>3011</v>
      </c>
      <c r="L690" s="17" t="s">
        <v>14</v>
      </c>
      <c r="M690" s="87" t="s">
        <v>3016</v>
      </c>
      <c r="N690" s="230"/>
      <c r="O690" s="206"/>
    </row>
    <row r="691" spans="1:15" s="45" customFormat="1" ht="15.75" thickBot="1" x14ac:dyDescent="0.3">
      <c r="A691" s="189" t="s">
        <v>916</v>
      </c>
      <c r="B691" s="205" t="s">
        <v>3014</v>
      </c>
      <c r="C691" s="252" t="s">
        <v>4224</v>
      </c>
      <c r="D691" s="17">
        <v>49.19</v>
      </c>
      <c r="E691" s="17">
        <v>-0.38</v>
      </c>
      <c r="F691" s="116">
        <f t="shared" si="23"/>
        <v>4562.5</v>
      </c>
      <c r="G691" s="323">
        <v>4630</v>
      </c>
      <c r="H691" s="323">
        <v>4495</v>
      </c>
      <c r="I691" s="202" t="s">
        <v>3024</v>
      </c>
      <c r="J691" s="398" t="s">
        <v>133</v>
      </c>
      <c r="K691" s="417" t="s">
        <v>3011</v>
      </c>
      <c r="L691" s="17" t="s">
        <v>14</v>
      </c>
      <c r="M691" s="87" t="s">
        <v>3017</v>
      </c>
      <c r="N691" s="230"/>
      <c r="O691" s="206"/>
    </row>
    <row r="692" spans="1:15" s="45" customFormat="1" ht="15.75" thickBot="1" x14ac:dyDescent="0.3">
      <c r="A692" s="189" t="s">
        <v>916</v>
      </c>
      <c r="B692" s="205" t="s">
        <v>3014</v>
      </c>
      <c r="C692" s="252" t="s">
        <v>4224</v>
      </c>
      <c r="D692" s="17">
        <v>49.19</v>
      </c>
      <c r="E692" s="17">
        <v>-0.38</v>
      </c>
      <c r="F692" s="116">
        <f t="shared" si="23"/>
        <v>4582.5</v>
      </c>
      <c r="G692" s="323">
        <v>4675</v>
      </c>
      <c r="H692" s="323">
        <v>4490</v>
      </c>
      <c r="I692" s="204" t="s">
        <v>2920</v>
      </c>
      <c r="J692" s="398" t="s">
        <v>264</v>
      </c>
      <c r="K692" s="417" t="s">
        <v>3011</v>
      </c>
      <c r="L692" s="17" t="s">
        <v>14</v>
      </c>
      <c r="M692" s="87" t="s">
        <v>3018</v>
      </c>
      <c r="N692" s="230"/>
      <c r="O692" s="206"/>
    </row>
    <row r="693" spans="1:15" s="45" customFormat="1" x14ac:dyDescent="0.25">
      <c r="A693" s="189" t="s">
        <v>916</v>
      </c>
      <c r="B693" s="205" t="s">
        <v>3014</v>
      </c>
      <c r="C693" s="252" t="s">
        <v>4224</v>
      </c>
      <c r="D693" s="17">
        <v>49.19</v>
      </c>
      <c r="E693" s="17">
        <v>-0.38</v>
      </c>
      <c r="F693" s="116">
        <f t="shared" si="23"/>
        <v>4347.5</v>
      </c>
      <c r="G693" s="323">
        <v>4365</v>
      </c>
      <c r="H693" s="323">
        <v>4330</v>
      </c>
      <c r="I693" s="202" t="s">
        <v>2490</v>
      </c>
      <c r="J693" s="398" t="s">
        <v>133</v>
      </c>
      <c r="K693" s="417" t="s">
        <v>3011</v>
      </c>
      <c r="L693" s="17" t="s">
        <v>14</v>
      </c>
      <c r="M693" s="87" t="s">
        <v>3019</v>
      </c>
      <c r="N693" s="230"/>
      <c r="O693" s="206"/>
    </row>
    <row r="694" spans="1:15" s="45" customFormat="1" x14ac:dyDescent="0.25">
      <c r="A694" s="189" t="s">
        <v>916</v>
      </c>
      <c r="B694" s="205" t="s">
        <v>3014</v>
      </c>
      <c r="C694" s="252" t="s">
        <v>4224</v>
      </c>
      <c r="D694" s="17">
        <v>49.19</v>
      </c>
      <c r="E694" s="17">
        <v>-0.38</v>
      </c>
      <c r="F694" s="116">
        <f t="shared" si="23"/>
        <v>4390</v>
      </c>
      <c r="G694" s="323">
        <v>4445</v>
      </c>
      <c r="H694" s="323">
        <v>4335</v>
      </c>
      <c r="I694" s="202" t="s">
        <v>1192</v>
      </c>
      <c r="J694" s="398" t="s">
        <v>865</v>
      </c>
      <c r="K694" s="417" t="s">
        <v>3011</v>
      </c>
      <c r="L694" s="17" t="s">
        <v>14</v>
      </c>
      <c r="M694" s="87" t="s">
        <v>3020</v>
      </c>
      <c r="N694" s="230"/>
      <c r="O694" s="206"/>
    </row>
    <row r="695" spans="1:15" s="45" customFormat="1" x14ac:dyDescent="0.25">
      <c r="A695" s="189" t="s">
        <v>916</v>
      </c>
      <c r="B695" s="205" t="s">
        <v>3014</v>
      </c>
      <c r="C695" s="252" t="s">
        <v>4224</v>
      </c>
      <c r="D695" s="17">
        <v>49.19</v>
      </c>
      <c r="E695" s="17">
        <v>-0.38</v>
      </c>
      <c r="F695" s="116">
        <f t="shared" si="23"/>
        <v>4395</v>
      </c>
      <c r="G695" s="323">
        <v>4450</v>
      </c>
      <c r="H695" s="323">
        <v>4340</v>
      </c>
      <c r="I695" s="201" t="s">
        <v>1168</v>
      </c>
      <c r="J695" s="398" t="s">
        <v>84</v>
      </c>
      <c r="K695" s="417" t="s">
        <v>3011</v>
      </c>
      <c r="L695" s="17" t="s">
        <v>14</v>
      </c>
      <c r="M695" s="87" t="s">
        <v>3021</v>
      </c>
      <c r="N695" s="230"/>
      <c r="O695" s="206"/>
    </row>
    <row r="696" spans="1:15" s="45" customFormat="1" ht="15.75" thickBot="1" x14ac:dyDescent="0.3">
      <c r="A696" s="189" t="s">
        <v>916</v>
      </c>
      <c r="B696" s="205" t="s">
        <v>3014</v>
      </c>
      <c r="C696" s="252" t="s">
        <v>4224</v>
      </c>
      <c r="D696" s="17">
        <v>49.19</v>
      </c>
      <c r="E696" s="17">
        <v>-0.38</v>
      </c>
      <c r="F696" s="116">
        <f t="shared" si="23"/>
        <v>4472.5</v>
      </c>
      <c r="G696" s="400">
        <v>4540</v>
      </c>
      <c r="H696" s="400">
        <v>4405</v>
      </c>
      <c r="I696" s="201" t="s">
        <v>3025</v>
      </c>
      <c r="J696" s="398" t="s">
        <v>69</v>
      </c>
      <c r="K696" s="417" t="s">
        <v>3011</v>
      </c>
      <c r="L696" s="17" t="s">
        <v>2</v>
      </c>
      <c r="M696" s="87" t="s">
        <v>3022</v>
      </c>
      <c r="N696" s="230"/>
      <c r="O696" s="206"/>
    </row>
    <row r="697" spans="1:15" s="45" customFormat="1" ht="15.75" thickBot="1" x14ac:dyDescent="0.3">
      <c r="A697" s="189" t="s">
        <v>916</v>
      </c>
      <c r="B697" s="205" t="s">
        <v>3014</v>
      </c>
      <c r="C697" s="252" t="s">
        <v>4224</v>
      </c>
      <c r="D697" s="17">
        <v>49.19</v>
      </c>
      <c r="E697" s="17">
        <v>-0.38</v>
      </c>
      <c r="F697" s="116">
        <f t="shared" si="23"/>
        <v>4472.5</v>
      </c>
      <c r="G697" s="400">
        <v>4540</v>
      </c>
      <c r="H697" s="400">
        <v>4405</v>
      </c>
      <c r="I697" s="178" t="s">
        <v>6</v>
      </c>
      <c r="J697" s="398" t="s">
        <v>264</v>
      </c>
      <c r="K697" s="417" t="s">
        <v>3011</v>
      </c>
      <c r="L697" s="17" t="s">
        <v>14</v>
      </c>
      <c r="M697" s="87" t="s">
        <v>3023</v>
      </c>
      <c r="N697" s="230"/>
      <c r="O697" s="206"/>
    </row>
    <row r="698" spans="1:15" s="45" customFormat="1" ht="15.75" thickBot="1" x14ac:dyDescent="0.3">
      <c r="A698" s="189" t="s">
        <v>916</v>
      </c>
      <c r="B698" s="205" t="s">
        <v>3026</v>
      </c>
      <c r="C698" s="252" t="s">
        <v>4224</v>
      </c>
      <c r="D698" s="192">
        <v>47.97</v>
      </c>
      <c r="E698" s="192">
        <v>3.56</v>
      </c>
      <c r="F698" s="116">
        <f t="shared" si="23"/>
        <v>4581.2857142857138</v>
      </c>
      <c r="G698" s="396">
        <f>(G701+G702+G708+G709+G710+G715+G719)/7</f>
        <v>4685.7142857142853</v>
      </c>
      <c r="H698" s="396">
        <f>(H701+H702+H708+H709+H710+H715+H719)/7</f>
        <v>4476.8571428571431</v>
      </c>
      <c r="I698" s="204" t="s">
        <v>481</v>
      </c>
      <c r="J698" s="398" t="s">
        <v>1856</v>
      </c>
      <c r="K698" s="417" t="s">
        <v>3011</v>
      </c>
      <c r="L698" s="14" t="s">
        <v>14</v>
      </c>
      <c r="M698" s="325" t="s">
        <v>3027</v>
      </c>
      <c r="N698" s="209" t="s">
        <v>3193</v>
      </c>
      <c r="O698" s="205" t="s">
        <v>3062</v>
      </c>
    </row>
    <row r="699" spans="1:15" s="45" customFormat="1" x14ac:dyDescent="0.25">
      <c r="A699" s="189" t="s">
        <v>916</v>
      </c>
      <c r="B699" s="205" t="s">
        <v>3026</v>
      </c>
      <c r="C699" s="252" t="s">
        <v>4224</v>
      </c>
      <c r="D699" s="192">
        <v>47.97</v>
      </c>
      <c r="E699" s="192">
        <v>3.56</v>
      </c>
      <c r="F699" s="116">
        <v>4581.2857142857138</v>
      </c>
      <c r="G699" s="396">
        <v>4685.7142857142853</v>
      </c>
      <c r="H699" s="396">
        <v>4476.8571428571431</v>
      </c>
      <c r="I699" s="201" t="s">
        <v>519</v>
      </c>
      <c r="J699" s="398" t="s">
        <v>1856</v>
      </c>
      <c r="K699" s="417" t="s">
        <v>3011</v>
      </c>
      <c r="L699" s="14" t="s">
        <v>14</v>
      </c>
      <c r="M699" s="325" t="s">
        <v>3028</v>
      </c>
      <c r="N699" s="209" t="s">
        <v>3194</v>
      </c>
      <c r="O699" s="205" t="s">
        <v>3062</v>
      </c>
    </row>
    <row r="700" spans="1:15" s="45" customFormat="1" x14ac:dyDescent="0.25">
      <c r="A700" s="189" t="s">
        <v>916</v>
      </c>
      <c r="B700" s="205" t="s">
        <v>3026</v>
      </c>
      <c r="C700" s="252" t="s">
        <v>4224</v>
      </c>
      <c r="D700" s="192">
        <v>47.97</v>
      </c>
      <c r="E700" s="192">
        <v>3.56</v>
      </c>
      <c r="F700" s="116">
        <v>4581.2857142857138</v>
      </c>
      <c r="G700" s="396">
        <v>4685.7142857142853</v>
      </c>
      <c r="H700" s="396">
        <v>4476.8571428571431</v>
      </c>
      <c r="I700" s="202" t="s">
        <v>1062</v>
      </c>
      <c r="J700" s="398" t="s">
        <v>69</v>
      </c>
      <c r="K700" s="417" t="s">
        <v>3011</v>
      </c>
      <c r="L700" s="14" t="s">
        <v>2</v>
      </c>
      <c r="M700" s="325" t="s">
        <v>3029</v>
      </c>
      <c r="N700" s="209" t="s">
        <v>3195</v>
      </c>
      <c r="O700" s="205" t="s">
        <v>3062</v>
      </c>
    </row>
    <row r="701" spans="1:15" s="45" customFormat="1" x14ac:dyDescent="0.25">
      <c r="A701" s="189" t="s">
        <v>916</v>
      </c>
      <c r="B701" s="205" t="s">
        <v>3026</v>
      </c>
      <c r="C701" s="252" t="s">
        <v>4224</v>
      </c>
      <c r="D701" s="192">
        <v>47.97</v>
      </c>
      <c r="E701" s="192">
        <v>3.56</v>
      </c>
      <c r="F701" s="116">
        <f>(G701+H701)/2</f>
        <v>4453</v>
      </c>
      <c r="G701" s="558">
        <v>4539</v>
      </c>
      <c r="H701" s="558">
        <v>4367</v>
      </c>
      <c r="I701" s="202" t="s">
        <v>130</v>
      </c>
      <c r="J701" s="398" t="s">
        <v>1856</v>
      </c>
      <c r="K701" s="417" t="s">
        <v>3011</v>
      </c>
      <c r="L701" s="14" t="s">
        <v>14</v>
      </c>
      <c r="M701" s="325" t="s">
        <v>3030</v>
      </c>
      <c r="N701" s="209" t="s">
        <v>3196</v>
      </c>
      <c r="O701" s="206"/>
    </row>
    <row r="702" spans="1:15" s="45" customFormat="1" x14ac:dyDescent="0.25">
      <c r="A702" s="189" t="s">
        <v>916</v>
      </c>
      <c r="B702" s="205" t="s">
        <v>3026</v>
      </c>
      <c r="C702" s="252" t="s">
        <v>4224</v>
      </c>
      <c r="D702" s="192">
        <v>47.97</v>
      </c>
      <c r="E702" s="192">
        <v>3.56</v>
      </c>
      <c r="F702" s="116">
        <f>(G702+H702)/2</f>
        <v>4652.5</v>
      </c>
      <c r="G702" s="558">
        <v>4765</v>
      </c>
      <c r="H702" s="558">
        <v>4540</v>
      </c>
      <c r="I702" s="202" t="s">
        <v>1562</v>
      </c>
      <c r="J702" s="398" t="s">
        <v>69</v>
      </c>
      <c r="K702" s="417" t="s">
        <v>3011</v>
      </c>
      <c r="L702" s="14" t="s">
        <v>2</v>
      </c>
      <c r="M702" s="325" t="s">
        <v>3031</v>
      </c>
      <c r="N702" s="209" t="s">
        <v>3197</v>
      </c>
      <c r="O702" s="206"/>
    </row>
    <row r="703" spans="1:15" s="45" customFormat="1" x14ac:dyDescent="0.25">
      <c r="A703" s="189" t="s">
        <v>916</v>
      </c>
      <c r="B703" s="205" t="s">
        <v>3026</v>
      </c>
      <c r="C703" s="252" t="s">
        <v>4224</v>
      </c>
      <c r="D703" s="192">
        <v>47.97</v>
      </c>
      <c r="E703" s="192">
        <v>3.56</v>
      </c>
      <c r="F703" s="116">
        <v>4581.2857142857138</v>
      </c>
      <c r="G703" s="396">
        <v>4685.7142857142853</v>
      </c>
      <c r="H703" s="396">
        <v>4476.8571428571431</v>
      </c>
      <c r="I703" s="202" t="s">
        <v>10</v>
      </c>
      <c r="J703" s="398" t="s">
        <v>69</v>
      </c>
      <c r="K703" s="417" t="s">
        <v>3011</v>
      </c>
      <c r="L703" s="14" t="s">
        <v>2</v>
      </c>
      <c r="M703" s="325" t="s">
        <v>3032</v>
      </c>
      <c r="N703" s="209" t="s">
        <v>3198</v>
      </c>
      <c r="O703" s="205" t="s">
        <v>3062</v>
      </c>
    </row>
    <row r="704" spans="1:15" s="45" customFormat="1" ht="15.75" thickBot="1" x14ac:dyDescent="0.3">
      <c r="A704" s="189" t="s">
        <v>916</v>
      </c>
      <c r="B704" s="205" t="s">
        <v>3026</v>
      </c>
      <c r="C704" s="252" t="s">
        <v>4224</v>
      </c>
      <c r="D704" s="192">
        <v>47.97</v>
      </c>
      <c r="E704" s="192">
        <v>3.56</v>
      </c>
      <c r="F704" s="116">
        <v>4581.2857142857138</v>
      </c>
      <c r="G704" s="396">
        <v>4685.7142857142853</v>
      </c>
      <c r="H704" s="396">
        <v>4476.8571428571431</v>
      </c>
      <c r="I704" s="202" t="s">
        <v>3049</v>
      </c>
      <c r="J704" s="398" t="s">
        <v>1856</v>
      </c>
      <c r="K704" s="417" t="s">
        <v>3011</v>
      </c>
      <c r="L704" s="14" t="s">
        <v>14</v>
      </c>
      <c r="M704" s="325" t="s">
        <v>3033</v>
      </c>
      <c r="N704" s="209" t="s">
        <v>3199</v>
      </c>
      <c r="O704" s="205" t="s">
        <v>3062</v>
      </c>
    </row>
    <row r="705" spans="1:15" s="45" customFormat="1" ht="15.75" thickBot="1" x14ac:dyDescent="0.3">
      <c r="A705" s="189" t="s">
        <v>916</v>
      </c>
      <c r="B705" s="205" t="s">
        <v>3026</v>
      </c>
      <c r="C705" s="252" t="s">
        <v>4224</v>
      </c>
      <c r="D705" s="192">
        <v>47.97</v>
      </c>
      <c r="E705" s="192">
        <v>3.56</v>
      </c>
      <c r="F705" s="116">
        <v>4581.2857142857138</v>
      </c>
      <c r="G705" s="396">
        <v>4685.7142857142853</v>
      </c>
      <c r="H705" s="396">
        <v>4476.8571428571431</v>
      </c>
      <c r="I705" s="204" t="s">
        <v>536</v>
      </c>
      <c r="J705" s="398" t="s">
        <v>264</v>
      </c>
      <c r="K705" s="417" t="s">
        <v>3011</v>
      </c>
      <c r="L705" s="14" t="s">
        <v>14</v>
      </c>
      <c r="M705" s="325" t="s">
        <v>3034</v>
      </c>
      <c r="N705" s="209" t="s">
        <v>3200</v>
      </c>
      <c r="O705" s="205" t="s">
        <v>3062</v>
      </c>
    </row>
    <row r="706" spans="1:15" s="45" customFormat="1" ht="15.75" thickBot="1" x14ac:dyDescent="0.3">
      <c r="A706" s="189" t="s">
        <v>916</v>
      </c>
      <c r="B706" s="205" t="s">
        <v>3026</v>
      </c>
      <c r="C706" s="252" t="s">
        <v>4224</v>
      </c>
      <c r="D706" s="192">
        <v>47.97</v>
      </c>
      <c r="E706" s="192">
        <v>3.56</v>
      </c>
      <c r="F706" s="116">
        <v>4581.2857142857138</v>
      </c>
      <c r="G706" s="396">
        <v>4685.7142857142853</v>
      </c>
      <c r="H706" s="396">
        <v>4476.8571428571431</v>
      </c>
      <c r="I706" s="202" t="s">
        <v>81</v>
      </c>
      <c r="J706" s="398" t="s">
        <v>335</v>
      </c>
      <c r="K706" s="417" t="s">
        <v>3011</v>
      </c>
      <c r="L706" s="14" t="s">
        <v>14</v>
      </c>
      <c r="M706" s="325" t="s">
        <v>3035</v>
      </c>
      <c r="N706" s="209" t="s">
        <v>3201</v>
      </c>
      <c r="O706" s="205" t="s">
        <v>3062</v>
      </c>
    </row>
    <row r="707" spans="1:15" s="45" customFormat="1" ht="15.75" thickBot="1" x14ac:dyDescent="0.3">
      <c r="A707" s="189" t="s">
        <v>916</v>
      </c>
      <c r="B707" s="205" t="s">
        <v>3026</v>
      </c>
      <c r="C707" s="252" t="s">
        <v>4224</v>
      </c>
      <c r="D707" s="192">
        <v>47.97</v>
      </c>
      <c r="E707" s="192">
        <v>3.56</v>
      </c>
      <c r="F707" s="116">
        <v>4581.2857142857138</v>
      </c>
      <c r="G707" s="396">
        <v>4685.7142857142853</v>
      </c>
      <c r="H707" s="396">
        <v>4476.8571428571431</v>
      </c>
      <c r="I707" s="204" t="s">
        <v>349</v>
      </c>
      <c r="J707" s="398" t="s">
        <v>69</v>
      </c>
      <c r="K707" s="417" t="s">
        <v>3011</v>
      </c>
      <c r="L707" s="14" t="s">
        <v>2</v>
      </c>
      <c r="M707" s="325" t="s">
        <v>3036</v>
      </c>
      <c r="N707" s="209" t="s">
        <v>3202</v>
      </c>
      <c r="O707" s="205" t="s">
        <v>3062</v>
      </c>
    </row>
    <row r="708" spans="1:15" s="45" customFormat="1" x14ac:dyDescent="0.25">
      <c r="A708" s="189" t="s">
        <v>916</v>
      </c>
      <c r="B708" s="205" t="s">
        <v>3026</v>
      </c>
      <c r="C708" s="252" t="s">
        <v>4224</v>
      </c>
      <c r="D708" s="192">
        <v>47.97</v>
      </c>
      <c r="E708" s="192">
        <v>3.56</v>
      </c>
      <c r="F708" s="116">
        <f>(G708+H708)/2</f>
        <v>4726</v>
      </c>
      <c r="G708" s="558">
        <v>4829</v>
      </c>
      <c r="H708" s="558">
        <v>4623</v>
      </c>
      <c r="I708" s="202" t="s">
        <v>559</v>
      </c>
      <c r="J708" s="398" t="s">
        <v>1856</v>
      </c>
      <c r="K708" s="417" t="s">
        <v>3011</v>
      </c>
      <c r="L708" s="14" t="s">
        <v>14</v>
      </c>
      <c r="M708" s="325" t="s">
        <v>3037</v>
      </c>
      <c r="N708" s="209" t="s">
        <v>3203</v>
      </c>
      <c r="O708" s="206"/>
    </row>
    <row r="709" spans="1:15" s="45" customFormat="1" ht="15.75" thickBot="1" x14ac:dyDescent="0.3">
      <c r="A709" s="189" t="s">
        <v>916</v>
      </c>
      <c r="B709" s="205" t="s">
        <v>3026</v>
      </c>
      <c r="C709" s="252" t="s">
        <v>4224</v>
      </c>
      <c r="D709" s="192">
        <v>47.97</v>
      </c>
      <c r="E709" s="192">
        <v>3.56</v>
      </c>
      <c r="F709" s="116">
        <f t="shared" ref="F709:F710" si="24">(G709+H709)/2</f>
        <v>4705.5</v>
      </c>
      <c r="G709" s="558">
        <v>4795</v>
      </c>
      <c r="H709" s="558">
        <v>4616</v>
      </c>
      <c r="I709" s="202" t="s">
        <v>503</v>
      </c>
      <c r="J709" s="398" t="s">
        <v>69</v>
      </c>
      <c r="K709" s="417" t="s">
        <v>3011</v>
      </c>
      <c r="L709" s="14" t="s">
        <v>2</v>
      </c>
      <c r="M709" s="325" t="s">
        <v>3038</v>
      </c>
      <c r="N709" s="209" t="s">
        <v>3204</v>
      </c>
      <c r="O709" s="206"/>
    </row>
    <row r="710" spans="1:15" s="45" customFormat="1" ht="15.75" thickBot="1" x14ac:dyDescent="0.3">
      <c r="A710" s="189" t="s">
        <v>916</v>
      </c>
      <c r="B710" s="205" t="s">
        <v>3026</v>
      </c>
      <c r="C710" s="252" t="s">
        <v>4224</v>
      </c>
      <c r="D710" s="192">
        <v>47.97</v>
      </c>
      <c r="E710" s="192">
        <v>3.56</v>
      </c>
      <c r="F710" s="116">
        <f t="shared" si="24"/>
        <v>4150</v>
      </c>
      <c r="G710" s="558">
        <v>4316</v>
      </c>
      <c r="H710" s="558">
        <v>3984</v>
      </c>
      <c r="I710" s="204" t="s">
        <v>481</v>
      </c>
      <c r="J710" s="398" t="s">
        <v>69</v>
      </c>
      <c r="K710" s="417" t="s">
        <v>3011</v>
      </c>
      <c r="L710" s="14" t="s">
        <v>2</v>
      </c>
      <c r="M710" s="325" t="s">
        <v>3039</v>
      </c>
      <c r="N710" s="651" t="s">
        <v>3205</v>
      </c>
      <c r="O710" s="206"/>
    </row>
    <row r="711" spans="1:15" s="45" customFormat="1" ht="15.75" thickBot="1" x14ac:dyDescent="0.3">
      <c r="A711" s="189" t="s">
        <v>916</v>
      </c>
      <c r="B711" s="205" t="s">
        <v>3026</v>
      </c>
      <c r="C711" s="252" t="s">
        <v>4224</v>
      </c>
      <c r="D711" s="192">
        <v>47.97</v>
      </c>
      <c r="E711" s="192">
        <v>3.56</v>
      </c>
      <c r="F711" s="116">
        <v>4581.2857142857138</v>
      </c>
      <c r="G711" s="396">
        <v>4685.7142857142853</v>
      </c>
      <c r="H711" s="396">
        <v>4476.8571428571431</v>
      </c>
      <c r="I711" s="202" t="s">
        <v>3050</v>
      </c>
      <c r="J711" s="398" t="s">
        <v>335</v>
      </c>
      <c r="K711" s="417" t="s">
        <v>3011</v>
      </c>
      <c r="L711" s="14" t="s">
        <v>14</v>
      </c>
      <c r="M711" s="325" t="s">
        <v>3040</v>
      </c>
      <c r="N711" s="650" t="s">
        <v>3206</v>
      </c>
      <c r="O711" s="205" t="s">
        <v>3062</v>
      </c>
    </row>
    <row r="712" spans="1:15" s="45" customFormat="1" ht="15.75" thickBot="1" x14ac:dyDescent="0.3">
      <c r="A712" s="189" t="s">
        <v>916</v>
      </c>
      <c r="B712" s="205" t="s">
        <v>3026</v>
      </c>
      <c r="C712" s="252" t="s">
        <v>4224</v>
      </c>
      <c r="D712" s="192">
        <v>47.97</v>
      </c>
      <c r="E712" s="192">
        <v>3.56</v>
      </c>
      <c r="F712" s="116">
        <v>4581.2857142857138</v>
      </c>
      <c r="G712" s="396">
        <v>4685.7142857142853</v>
      </c>
      <c r="H712" s="396">
        <v>4476.8571428571431</v>
      </c>
      <c r="I712" s="204" t="s">
        <v>126</v>
      </c>
      <c r="J712" s="398" t="s">
        <v>264</v>
      </c>
      <c r="K712" s="417" t="s">
        <v>3011</v>
      </c>
      <c r="L712" s="14" t="s">
        <v>14</v>
      </c>
      <c r="M712" s="325" t="s">
        <v>3041</v>
      </c>
      <c r="N712" s="650" t="s">
        <v>3207</v>
      </c>
      <c r="O712" s="205" t="s">
        <v>3062</v>
      </c>
    </row>
    <row r="713" spans="1:15" s="45" customFormat="1" x14ac:dyDescent="0.25">
      <c r="A713" s="189" t="s">
        <v>916</v>
      </c>
      <c r="B713" s="205" t="s">
        <v>3026</v>
      </c>
      <c r="C713" s="252" t="s">
        <v>4224</v>
      </c>
      <c r="D713" s="192">
        <v>47.97</v>
      </c>
      <c r="E713" s="192">
        <v>3.56</v>
      </c>
      <c r="F713" s="116">
        <v>4581.2857142857138</v>
      </c>
      <c r="G713" s="396">
        <v>4685.7142857142853</v>
      </c>
      <c r="H713" s="396">
        <v>4476.8571428571431</v>
      </c>
      <c r="I713" s="202" t="s">
        <v>3051</v>
      </c>
      <c r="J713" s="398" t="s">
        <v>335</v>
      </c>
      <c r="K713" s="417" t="s">
        <v>3011</v>
      </c>
      <c r="L713" s="14" t="s">
        <v>14</v>
      </c>
      <c r="M713" s="325" t="s">
        <v>3042</v>
      </c>
      <c r="N713" s="650" t="s">
        <v>3208</v>
      </c>
      <c r="O713" s="205" t="s">
        <v>3062</v>
      </c>
    </row>
    <row r="714" spans="1:15" s="45" customFormat="1" ht="15.75" thickBot="1" x14ac:dyDescent="0.3">
      <c r="A714" s="189" t="s">
        <v>916</v>
      </c>
      <c r="B714" s="205" t="s">
        <v>3026</v>
      </c>
      <c r="C714" s="252" t="s">
        <v>4224</v>
      </c>
      <c r="D714" s="192">
        <v>47.97</v>
      </c>
      <c r="E714" s="192">
        <v>3.56</v>
      </c>
      <c r="F714" s="116">
        <v>4581.2857142857138</v>
      </c>
      <c r="G714" s="396">
        <v>4685.7142857142853</v>
      </c>
      <c r="H714" s="396">
        <v>4476.8571428571431</v>
      </c>
      <c r="I714" s="202" t="s">
        <v>835</v>
      </c>
      <c r="J714" s="398" t="s">
        <v>1856</v>
      </c>
      <c r="K714" s="417" t="s">
        <v>3011</v>
      </c>
      <c r="L714" s="14" t="s">
        <v>14</v>
      </c>
      <c r="M714" s="325" t="s">
        <v>3043</v>
      </c>
      <c r="N714" s="650" t="s">
        <v>3209</v>
      </c>
      <c r="O714" s="205" t="s">
        <v>3062</v>
      </c>
    </row>
    <row r="715" spans="1:15" s="45" customFormat="1" ht="15.75" thickBot="1" x14ac:dyDescent="0.3">
      <c r="A715" s="189" t="s">
        <v>916</v>
      </c>
      <c r="B715" s="205" t="s">
        <v>3026</v>
      </c>
      <c r="C715" s="252" t="s">
        <v>4224</v>
      </c>
      <c r="D715" s="192">
        <v>47.97</v>
      </c>
      <c r="E715" s="192">
        <v>3.56</v>
      </c>
      <c r="F715" s="116">
        <f>(G715+H715)/2</f>
        <v>4717</v>
      </c>
      <c r="G715" s="559">
        <v>4772</v>
      </c>
      <c r="H715" s="559">
        <v>4662</v>
      </c>
      <c r="I715" s="204" t="s">
        <v>2367</v>
      </c>
      <c r="J715" s="398" t="s">
        <v>69</v>
      </c>
      <c r="K715" s="417" t="s">
        <v>3011</v>
      </c>
      <c r="L715" s="14" t="s">
        <v>2</v>
      </c>
      <c r="M715" s="325" t="s">
        <v>3044</v>
      </c>
      <c r="N715" s="650" t="s">
        <v>3210</v>
      </c>
      <c r="O715" s="206"/>
    </row>
    <row r="716" spans="1:15" s="45" customFormat="1" x14ac:dyDescent="0.25">
      <c r="A716" s="189" t="s">
        <v>916</v>
      </c>
      <c r="B716" s="205" t="s">
        <v>3026</v>
      </c>
      <c r="C716" s="252" t="s">
        <v>4224</v>
      </c>
      <c r="D716" s="192">
        <v>47.97</v>
      </c>
      <c r="E716" s="192">
        <v>3.56</v>
      </c>
      <c r="F716" s="116">
        <v>4581.2857142857138</v>
      </c>
      <c r="G716" s="396">
        <v>4685.7142857142853</v>
      </c>
      <c r="H716" s="396">
        <v>4476.8571428571431</v>
      </c>
      <c r="I716" s="202" t="s">
        <v>1192</v>
      </c>
      <c r="J716" s="398" t="s">
        <v>69</v>
      </c>
      <c r="K716" s="417" t="s">
        <v>3011</v>
      </c>
      <c r="L716" s="14" t="s">
        <v>2</v>
      </c>
      <c r="M716" s="325" t="s">
        <v>3045</v>
      </c>
      <c r="N716" s="650" t="s">
        <v>3211</v>
      </c>
      <c r="O716" s="205" t="s">
        <v>3062</v>
      </c>
    </row>
    <row r="717" spans="1:15" s="45" customFormat="1" x14ac:dyDescent="0.25">
      <c r="A717" s="189" t="s">
        <v>916</v>
      </c>
      <c r="B717" s="205" t="s">
        <v>3026</v>
      </c>
      <c r="C717" s="252" t="s">
        <v>4224</v>
      </c>
      <c r="D717" s="192">
        <v>47.97</v>
      </c>
      <c r="E717" s="192">
        <v>3.56</v>
      </c>
      <c r="F717" s="116">
        <v>4581.2857142857138</v>
      </c>
      <c r="G717" s="396">
        <v>4685.7142857142853</v>
      </c>
      <c r="H717" s="396">
        <v>4476.8571428571431</v>
      </c>
      <c r="I717" s="202" t="s">
        <v>1062</v>
      </c>
      <c r="J717" s="398" t="s">
        <v>69</v>
      </c>
      <c r="K717" s="417" t="s">
        <v>3011</v>
      </c>
      <c r="L717" s="14" t="s">
        <v>14</v>
      </c>
      <c r="M717" s="325" t="s">
        <v>3046</v>
      </c>
      <c r="N717" s="650" t="s">
        <v>3212</v>
      </c>
      <c r="O717" s="205" t="s">
        <v>3062</v>
      </c>
    </row>
    <row r="718" spans="1:15" s="45" customFormat="1" x14ac:dyDescent="0.25">
      <c r="A718" s="189" t="s">
        <v>916</v>
      </c>
      <c r="B718" s="205" t="s">
        <v>3026</v>
      </c>
      <c r="C718" s="252" t="s">
        <v>4224</v>
      </c>
      <c r="D718" s="192">
        <v>47.97</v>
      </c>
      <c r="E718" s="192">
        <v>3.56</v>
      </c>
      <c r="F718" s="116">
        <v>4581.2857142857138</v>
      </c>
      <c r="G718" s="396">
        <v>4685.7142857142853</v>
      </c>
      <c r="H718" s="396">
        <v>4476.8571428571431</v>
      </c>
      <c r="I718" s="201" t="s">
        <v>122</v>
      </c>
      <c r="J718" s="398" t="s">
        <v>69</v>
      </c>
      <c r="K718" s="417" t="s">
        <v>3011</v>
      </c>
      <c r="L718" s="14" t="s">
        <v>2</v>
      </c>
      <c r="M718" s="325" t="s">
        <v>3047</v>
      </c>
      <c r="N718" s="650" t="s">
        <v>3213</v>
      </c>
      <c r="O718" s="205" t="s">
        <v>3062</v>
      </c>
    </row>
    <row r="719" spans="1:15" s="45" customFormat="1" x14ac:dyDescent="0.25">
      <c r="A719" s="189" t="s">
        <v>916</v>
      </c>
      <c r="B719" s="205" t="s">
        <v>3026</v>
      </c>
      <c r="C719" s="252" t="s">
        <v>4224</v>
      </c>
      <c r="D719" s="192">
        <v>47.97</v>
      </c>
      <c r="E719" s="192">
        <v>3.56</v>
      </c>
      <c r="F719" s="116">
        <f>(G719+H719)/2</f>
        <v>4665</v>
      </c>
      <c r="G719" s="558">
        <v>4784</v>
      </c>
      <c r="H719" s="558">
        <v>4546</v>
      </c>
      <c r="I719" s="202" t="s">
        <v>559</v>
      </c>
      <c r="J719" s="398" t="s">
        <v>1856</v>
      </c>
      <c r="K719" s="417" t="s">
        <v>3011</v>
      </c>
      <c r="L719" s="14" t="s">
        <v>14</v>
      </c>
      <c r="M719" s="325" t="s">
        <v>3048</v>
      </c>
      <c r="N719" s="650" t="s">
        <v>3214</v>
      </c>
      <c r="O719" s="206"/>
    </row>
    <row r="720" spans="1:15" s="45" customFormat="1" x14ac:dyDescent="0.25">
      <c r="A720" s="189" t="s">
        <v>3117</v>
      </c>
      <c r="B720" s="205" t="s">
        <v>3026</v>
      </c>
      <c r="C720" s="252" t="s">
        <v>4224</v>
      </c>
      <c r="D720" s="192">
        <v>47.97</v>
      </c>
      <c r="E720" s="192">
        <v>3.56</v>
      </c>
      <c r="F720" s="560">
        <v>4726</v>
      </c>
      <c r="G720" s="561">
        <v>4829</v>
      </c>
      <c r="H720" s="561">
        <v>4623</v>
      </c>
      <c r="I720" s="105" t="s">
        <v>126</v>
      </c>
      <c r="J720" s="218" t="s">
        <v>264</v>
      </c>
      <c r="K720" s="417" t="s">
        <v>3011</v>
      </c>
      <c r="L720" s="14" t="s">
        <v>14</v>
      </c>
      <c r="M720" s="616" t="s">
        <v>3119</v>
      </c>
      <c r="N720" s="230"/>
      <c r="O720" s="205" t="s">
        <v>3062</v>
      </c>
    </row>
    <row r="721" spans="1:15" s="45" customFormat="1" x14ac:dyDescent="0.25">
      <c r="A721" s="189" t="s">
        <v>3117</v>
      </c>
      <c r="B721" s="205" t="s">
        <v>3026</v>
      </c>
      <c r="C721" s="252" t="s">
        <v>4224</v>
      </c>
      <c r="D721" s="192">
        <v>47.97</v>
      </c>
      <c r="E721" s="192">
        <v>3.56</v>
      </c>
      <c r="F721" s="562">
        <v>4109.5</v>
      </c>
      <c r="G721" s="561">
        <v>4235</v>
      </c>
      <c r="H721" s="561">
        <v>3984</v>
      </c>
      <c r="I721" s="105" t="s">
        <v>1562</v>
      </c>
      <c r="J721" s="218" t="s">
        <v>264</v>
      </c>
      <c r="K721" s="417" t="s">
        <v>3011</v>
      </c>
      <c r="L721" s="14" t="s">
        <v>14</v>
      </c>
      <c r="M721" s="616" t="s">
        <v>3120</v>
      </c>
      <c r="N721" s="230"/>
      <c r="O721" s="205" t="s">
        <v>3062</v>
      </c>
    </row>
    <row r="722" spans="1:15" s="45" customFormat="1" x14ac:dyDescent="0.25">
      <c r="A722" s="189" t="s">
        <v>3117</v>
      </c>
      <c r="B722" s="205" t="s">
        <v>3026</v>
      </c>
      <c r="C722" s="252" t="s">
        <v>4224</v>
      </c>
      <c r="D722" s="192">
        <v>47.97</v>
      </c>
      <c r="E722" s="192">
        <v>3.56</v>
      </c>
      <c r="F722" s="562">
        <v>4893</v>
      </c>
      <c r="G722" s="561">
        <v>5003</v>
      </c>
      <c r="H722" s="561">
        <v>4783</v>
      </c>
      <c r="I722" s="105" t="s">
        <v>1562</v>
      </c>
      <c r="J722" s="218" t="s">
        <v>264</v>
      </c>
      <c r="K722" s="417" t="s">
        <v>3011</v>
      </c>
      <c r="L722" s="14" t="s">
        <v>14</v>
      </c>
      <c r="M722" s="616" t="s">
        <v>3121</v>
      </c>
      <c r="N722" s="230"/>
      <c r="O722" s="205" t="s">
        <v>3062</v>
      </c>
    </row>
    <row r="723" spans="1:15" s="45" customFormat="1" x14ac:dyDescent="0.25">
      <c r="A723" s="189" t="s">
        <v>3117</v>
      </c>
      <c r="B723" s="205" t="s">
        <v>3026</v>
      </c>
      <c r="C723" s="252" t="s">
        <v>4224</v>
      </c>
      <c r="D723" s="192">
        <v>47.97</v>
      </c>
      <c r="E723" s="192">
        <v>3.56</v>
      </c>
      <c r="F723" s="562">
        <v>4493.5</v>
      </c>
      <c r="G723" s="561">
        <v>5003</v>
      </c>
      <c r="H723" s="561">
        <v>3984</v>
      </c>
      <c r="I723" s="105" t="s">
        <v>3123</v>
      </c>
      <c r="J723" s="617" t="s">
        <v>264</v>
      </c>
      <c r="K723" s="417" t="s">
        <v>3011</v>
      </c>
      <c r="L723" s="14" t="s">
        <v>14</v>
      </c>
      <c r="M723" s="616" t="s">
        <v>3122</v>
      </c>
      <c r="N723" s="230"/>
      <c r="O723" s="205" t="s">
        <v>3062</v>
      </c>
    </row>
    <row r="724" spans="1:15" s="45" customFormat="1" x14ac:dyDescent="0.25">
      <c r="A724" s="189" t="s">
        <v>916</v>
      </c>
      <c r="B724" s="205" t="s">
        <v>3010</v>
      </c>
      <c r="C724" s="252" t="s">
        <v>4224</v>
      </c>
      <c r="D724" s="17">
        <v>48.46</v>
      </c>
      <c r="E724" s="17">
        <v>7.48</v>
      </c>
      <c r="F724" s="116">
        <f t="shared" ref="F724:F734" si="25">(G724+H724)/2</f>
        <v>4658</v>
      </c>
      <c r="G724" s="323">
        <v>4766</v>
      </c>
      <c r="H724" s="323">
        <v>4550</v>
      </c>
      <c r="I724" s="202" t="s">
        <v>1385</v>
      </c>
      <c r="J724" s="398" t="s">
        <v>69</v>
      </c>
      <c r="K724" s="417" t="s">
        <v>3011</v>
      </c>
      <c r="L724" s="14" t="s">
        <v>2</v>
      </c>
      <c r="M724" s="87" t="s">
        <v>3065</v>
      </c>
      <c r="N724" s="230" t="s">
        <v>3160</v>
      </c>
      <c r="O724" s="108" t="s">
        <v>3161</v>
      </c>
    </row>
    <row r="725" spans="1:15" s="45" customFormat="1" ht="15.75" thickBot="1" x14ac:dyDescent="0.3">
      <c r="A725" s="189" t="s">
        <v>916</v>
      </c>
      <c r="B725" s="205" t="s">
        <v>3010</v>
      </c>
      <c r="C725" s="252" t="s">
        <v>4224</v>
      </c>
      <c r="D725" s="17">
        <v>48.46</v>
      </c>
      <c r="E725" s="17">
        <v>7.48</v>
      </c>
      <c r="F725" s="116">
        <f t="shared" si="25"/>
        <v>4660.7</v>
      </c>
      <c r="G725" s="197">
        <f>(G680+G724+G726+G727+G728+G729+G730+G731+G732+G734)/10</f>
        <v>4761.5</v>
      </c>
      <c r="H725" s="197">
        <f>(H680+H724+H726+H727+H728+H729+H730+H731+H732+H734)/10</f>
        <v>4559.8999999999996</v>
      </c>
      <c r="I725" s="202" t="s">
        <v>10</v>
      </c>
      <c r="J725" s="398" t="s">
        <v>69</v>
      </c>
      <c r="K725" s="417" t="s">
        <v>3011</v>
      </c>
      <c r="L725" s="14" t="s">
        <v>2</v>
      </c>
      <c r="M725" s="87" t="s">
        <v>3066</v>
      </c>
      <c r="N725" s="230" t="s">
        <v>3162</v>
      </c>
      <c r="O725" s="205" t="s">
        <v>3165</v>
      </c>
    </row>
    <row r="726" spans="1:15" s="45" customFormat="1" ht="15.75" thickBot="1" x14ac:dyDescent="0.3">
      <c r="A726" s="189" t="s">
        <v>916</v>
      </c>
      <c r="B726" s="205" t="s">
        <v>3010</v>
      </c>
      <c r="C726" s="252" t="s">
        <v>4224</v>
      </c>
      <c r="D726" s="17">
        <v>48.46</v>
      </c>
      <c r="E726" s="17">
        <v>7.48</v>
      </c>
      <c r="F726" s="116">
        <f t="shared" si="25"/>
        <v>4596.5</v>
      </c>
      <c r="G726" s="323">
        <v>4689</v>
      </c>
      <c r="H726" s="323">
        <v>4504</v>
      </c>
      <c r="I726" s="204" t="s">
        <v>536</v>
      </c>
      <c r="J726" s="398" t="s">
        <v>69</v>
      </c>
      <c r="K726" s="417" t="s">
        <v>3011</v>
      </c>
      <c r="L726" s="14" t="s">
        <v>2</v>
      </c>
      <c r="M726" s="87" t="s">
        <v>3067</v>
      </c>
      <c r="N726" s="230" t="s">
        <v>3163</v>
      </c>
      <c r="O726" s="205" t="s">
        <v>3164</v>
      </c>
    </row>
    <row r="727" spans="1:15" s="45" customFormat="1" ht="15.75" thickBot="1" x14ac:dyDescent="0.3">
      <c r="A727" s="189" t="s">
        <v>916</v>
      </c>
      <c r="B727" s="205" t="s">
        <v>3010</v>
      </c>
      <c r="C727" s="252" t="s">
        <v>4224</v>
      </c>
      <c r="D727" s="17">
        <v>48.46</v>
      </c>
      <c r="E727" s="17">
        <v>7.48</v>
      </c>
      <c r="F727" s="116">
        <f t="shared" si="25"/>
        <v>4590</v>
      </c>
      <c r="G727" s="192">
        <v>4681</v>
      </c>
      <c r="H727" s="192">
        <v>4499</v>
      </c>
      <c r="I727" s="204" t="s">
        <v>915</v>
      </c>
      <c r="J727" s="398" t="s">
        <v>900</v>
      </c>
      <c r="K727" s="417" t="s">
        <v>3011</v>
      </c>
      <c r="L727" s="14" t="s">
        <v>14</v>
      </c>
      <c r="M727" s="87" t="s">
        <v>3068</v>
      </c>
      <c r="N727" s="230" t="s">
        <v>3166</v>
      </c>
      <c r="O727" s="205" t="s">
        <v>3167</v>
      </c>
    </row>
    <row r="728" spans="1:15" s="45" customFormat="1" x14ac:dyDescent="0.25">
      <c r="A728" s="189" t="s">
        <v>916</v>
      </c>
      <c r="B728" s="205" t="s">
        <v>3010</v>
      </c>
      <c r="C728" s="252" t="s">
        <v>4224</v>
      </c>
      <c r="D728" s="17">
        <v>48.46</v>
      </c>
      <c r="E728" s="17">
        <v>7.48</v>
      </c>
      <c r="F728" s="116">
        <f t="shared" si="25"/>
        <v>4927</v>
      </c>
      <c r="G728" s="192">
        <v>5007</v>
      </c>
      <c r="H728" s="192">
        <v>4847</v>
      </c>
      <c r="I728" s="202" t="s">
        <v>10</v>
      </c>
      <c r="J728" s="398" t="s">
        <v>900</v>
      </c>
      <c r="K728" s="417" t="s">
        <v>3011</v>
      </c>
      <c r="L728" s="14" t="s">
        <v>14</v>
      </c>
      <c r="M728" s="87" t="s">
        <v>3069</v>
      </c>
      <c r="N728" s="230" t="s">
        <v>3168</v>
      </c>
      <c r="O728" s="205" t="s">
        <v>3169</v>
      </c>
    </row>
    <row r="729" spans="1:15" s="45" customFormat="1" ht="15.75" thickBot="1" x14ac:dyDescent="0.3">
      <c r="A729" s="189" t="s">
        <v>916</v>
      </c>
      <c r="B729" s="205" t="s">
        <v>3010</v>
      </c>
      <c r="C729" s="252" t="s">
        <v>4224</v>
      </c>
      <c r="D729" s="17">
        <v>48.46</v>
      </c>
      <c r="E729" s="17">
        <v>7.48</v>
      </c>
      <c r="F729" s="116">
        <f t="shared" si="25"/>
        <v>5097</v>
      </c>
      <c r="G729" s="192">
        <v>5208</v>
      </c>
      <c r="H729" s="192">
        <v>4986</v>
      </c>
      <c r="I729" s="202" t="s">
        <v>128</v>
      </c>
      <c r="J729" s="398" t="s">
        <v>930</v>
      </c>
      <c r="K729" s="417" t="s">
        <v>3011</v>
      </c>
      <c r="L729" s="14" t="s">
        <v>14</v>
      </c>
      <c r="M729" s="87" t="s">
        <v>3008</v>
      </c>
      <c r="N729" s="230" t="s">
        <v>3170</v>
      </c>
      <c r="O729" s="205" t="s">
        <v>3171</v>
      </c>
    </row>
    <row r="730" spans="1:15" s="45" customFormat="1" ht="15.75" thickBot="1" x14ac:dyDescent="0.3">
      <c r="A730" s="189" t="s">
        <v>916</v>
      </c>
      <c r="B730" s="205" t="s">
        <v>3010</v>
      </c>
      <c r="C730" s="252" t="s">
        <v>4224</v>
      </c>
      <c r="D730" s="17">
        <v>48.46</v>
      </c>
      <c r="E730" s="17">
        <v>7.48</v>
      </c>
      <c r="F730" s="116">
        <f t="shared" si="25"/>
        <v>4434</v>
      </c>
      <c r="G730" s="323">
        <v>4518</v>
      </c>
      <c r="H730" s="323">
        <v>4350</v>
      </c>
      <c r="I730" s="178" t="s">
        <v>83</v>
      </c>
      <c r="J730" s="398" t="s">
        <v>900</v>
      </c>
      <c r="K730" s="417" t="s">
        <v>3011</v>
      </c>
      <c r="L730" s="14" t="s">
        <v>14</v>
      </c>
      <c r="M730" s="87" t="s">
        <v>3070</v>
      </c>
      <c r="N730" s="230" t="s">
        <v>3172</v>
      </c>
      <c r="O730" s="205" t="s">
        <v>3173</v>
      </c>
    </row>
    <row r="731" spans="1:15" s="45" customFormat="1" x14ac:dyDescent="0.25">
      <c r="A731" s="189" t="s">
        <v>916</v>
      </c>
      <c r="B731" s="205" t="s">
        <v>3010</v>
      </c>
      <c r="C731" s="252" t="s">
        <v>4224</v>
      </c>
      <c r="D731" s="17">
        <v>48.46</v>
      </c>
      <c r="E731" s="17">
        <v>7.48</v>
      </c>
      <c r="F731" s="116">
        <f t="shared" si="25"/>
        <v>4596.5</v>
      </c>
      <c r="G731" s="323">
        <v>4688</v>
      </c>
      <c r="H731" s="323">
        <v>4505</v>
      </c>
      <c r="I731" s="201" t="s">
        <v>2356</v>
      </c>
      <c r="J731" s="398" t="s">
        <v>69</v>
      </c>
      <c r="K731" s="417" t="s">
        <v>3011</v>
      </c>
      <c r="L731" s="14" t="s">
        <v>2</v>
      </c>
      <c r="M731" s="87" t="s">
        <v>3071</v>
      </c>
      <c r="N731" s="230" t="s">
        <v>3174</v>
      </c>
      <c r="O731" s="205" t="s">
        <v>3175</v>
      </c>
    </row>
    <row r="732" spans="1:15" s="45" customFormat="1" x14ac:dyDescent="0.25">
      <c r="A732" s="189" t="s">
        <v>916</v>
      </c>
      <c r="B732" s="205" t="s">
        <v>3010</v>
      </c>
      <c r="C732" s="252" t="s">
        <v>4224</v>
      </c>
      <c r="D732" s="17">
        <v>48.46</v>
      </c>
      <c r="E732" s="17">
        <v>7.48</v>
      </c>
      <c r="F732" s="116">
        <f t="shared" si="25"/>
        <v>4445</v>
      </c>
      <c r="G732" s="323">
        <v>4521</v>
      </c>
      <c r="H732" s="323">
        <v>4369</v>
      </c>
      <c r="I732" s="201" t="s">
        <v>3075</v>
      </c>
      <c r="J732" s="398" t="s">
        <v>69</v>
      </c>
      <c r="K732" s="417" t="s">
        <v>3011</v>
      </c>
      <c r="L732" s="14" t="s">
        <v>2</v>
      </c>
      <c r="M732" s="87" t="s">
        <v>3072</v>
      </c>
      <c r="N732" s="230" t="s">
        <v>3176</v>
      </c>
      <c r="O732" s="205" t="s">
        <v>3177</v>
      </c>
    </row>
    <row r="733" spans="1:15" s="45" customFormat="1" x14ac:dyDescent="0.25">
      <c r="A733" s="189" t="s">
        <v>916</v>
      </c>
      <c r="B733" s="205" t="s">
        <v>3010</v>
      </c>
      <c r="C733" s="252" t="s">
        <v>4224</v>
      </c>
      <c r="D733" s="17">
        <v>48.46</v>
      </c>
      <c r="E733" s="17">
        <v>7.48</v>
      </c>
      <c r="F733" s="116">
        <v>4660.7</v>
      </c>
      <c r="G733" s="197">
        <v>4761.5</v>
      </c>
      <c r="H733" s="197">
        <v>4559.8999999999996</v>
      </c>
      <c r="I733" s="201" t="s">
        <v>3076</v>
      </c>
      <c r="J733" s="398" t="s">
        <v>69</v>
      </c>
      <c r="K733" s="417" t="s">
        <v>3011</v>
      </c>
      <c r="L733" s="14" t="s">
        <v>2</v>
      </c>
      <c r="M733" s="87" t="s">
        <v>3073</v>
      </c>
      <c r="N733" s="230" t="s">
        <v>3178</v>
      </c>
      <c r="O733" s="205" t="s">
        <v>3179</v>
      </c>
    </row>
    <row r="734" spans="1:15" s="45" customFormat="1" x14ac:dyDescent="0.25">
      <c r="A734" s="189" t="s">
        <v>916</v>
      </c>
      <c r="B734" s="205" t="s">
        <v>3010</v>
      </c>
      <c r="C734" s="252" t="s">
        <v>4224</v>
      </c>
      <c r="D734" s="17">
        <v>48.46</v>
      </c>
      <c r="E734" s="17">
        <v>7.48</v>
      </c>
      <c r="F734" s="116">
        <f t="shared" si="25"/>
        <v>4709.5</v>
      </c>
      <c r="G734" s="323">
        <v>4886</v>
      </c>
      <c r="H734" s="323">
        <v>4533</v>
      </c>
      <c r="I734" s="201" t="s">
        <v>3077</v>
      </c>
      <c r="J734" s="398" t="s">
        <v>900</v>
      </c>
      <c r="K734" s="417" t="s">
        <v>3011</v>
      </c>
      <c r="L734" s="14" t="s">
        <v>14</v>
      </c>
      <c r="M734" s="87" t="s">
        <v>3074</v>
      </c>
      <c r="N734" s="230" t="s">
        <v>3180</v>
      </c>
      <c r="O734" s="205" t="s">
        <v>3181</v>
      </c>
    </row>
    <row r="735" spans="1:15" s="45" customFormat="1" x14ac:dyDescent="0.25">
      <c r="A735" s="189" t="s">
        <v>896</v>
      </c>
      <c r="B735" s="237" t="s">
        <v>883</v>
      </c>
      <c r="C735" s="252" t="s">
        <v>4224</v>
      </c>
      <c r="D735" s="41">
        <v>48.820270000000001</v>
      </c>
      <c r="E735" s="41">
        <v>7.6259899999999998</v>
      </c>
      <c r="F735" s="116">
        <f>AVERAGE(G735:H735)</f>
        <v>5100</v>
      </c>
      <c r="G735" s="27">
        <v>5200</v>
      </c>
      <c r="H735" s="112">
        <v>5000</v>
      </c>
      <c r="I735" s="76" t="s">
        <v>884</v>
      </c>
      <c r="J735" s="218" t="s">
        <v>69</v>
      </c>
      <c r="K735" s="417" t="s">
        <v>2536</v>
      </c>
      <c r="L735" s="17" t="s">
        <v>69</v>
      </c>
      <c r="M735" s="108" t="s">
        <v>882</v>
      </c>
      <c r="N735" s="230"/>
      <c r="O735" s="205"/>
    </row>
    <row r="736" spans="1:15" s="45" customFormat="1" x14ac:dyDescent="0.25">
      <c r="A736" s="189" t="s">
        <v>896</v>
      </c>
      <c r="B736" s="237" t="s">
        <v>883</v>
      </c>
      <c r="C736" s="252" t="s">
        <v>4224</v>
      </c>
      <c r="D736" s="41">
        <v>48.820270000000001</v>
      </c>
      <c r="E736" s="41">
        <v>7.6259899999999998</v>
      </c>
      <c r="F736" s="116">
        <f t="shared" ref="F736:F771" si="26">AVERAGE(G736:H736)</f>
        <v>5086</v>
      </c>
      <c r="G736" s="27">
        <v>5208</v>
      </c>
      <c r="H736" s="112">
        <v>4964</v>
      </c>
      <c r="I736" s="76" t="s">
        <v>886</v>
      </c>
      <c r="J736" s="218" t="s">
        <v>69</v>
      </c>
      <c r="K736" s="417" t="s">
        <v>2536</v>
      </c>
      <c r="L736" s="17" t="s">
        <v>2</v>
      </c>
      <c r="M736" s="108" t="s">
        <v>885</v>
      </c>
      <c r="N736" s="230"/>
      <c r="O736" s="205"/>
    </row>
    <row r="737" spans="1:15" s="45" customFormat="1" x14ac:dyDescent="0.25">
      <c r="A737" s="189" t="s">
        <v>896</v>
      </c>
      <c r="B737" s="237" t="s">
        <v>887</v>
      </c>
      <c r="C737" s="252" t="s">
        <v>4224</v>
      </c>
      <c r="D737" s="41">
        <v>48.755629999999996</v>
      </c>
      <c r="E737" s="41">
        <v>7.5995799999999996</v>
      </c>
      <c r="F737" s="116">
        <f t="shared" si="26"/>
        <v>5301.5</v>
      </c>
      <c r="G737" s="27">
        <v>5383</v>
      </c>
      <c r="H737" s="112">
        <v>5220</v>
      </c>
      <c r="I737" s="76" t="s">
        <v>559</v>
      </c>
      <c r="J737" s="218" t="s">
        <v>69</v>
      </c>
      <c r="K737" s="417" t="s">
        <v>2536</v>
      </c>
      <c r="L737" s="17" t="s">
        <v>2</v>
      </c>
      <c r="M737" s="108" t="s">
        <v>888</v>
      </c>
      <c r="N737" s="230"/>
      <c r="O737" s="205"/>
    </row>
    <row r="738" spans="1:15" s="45" customFormat="1" x14ac:dyDescent="0.25">
      <c r="A738" s="189" t="s">
        <v>896</v>
      </c>
      <c r="B738" s="237" t="s">
        <v>887</v>
      </c>
      <c r="C738" s="252" t="s">
        <v>4224</v>
      </c>
      <c r="D738" s="41">
        <v>48.755629999999996</v>
      </c>
      <c r="E738" s="41">
        <v>7.5995799999999996</v>
      </c>
      <c r="F738" s="116">
        <f t="shared" si="26"/>
        <v>5086.5</v>
      </c>
      <c r="G738" s="27">
        <v>5211</v>
      </c>
      <c r="H738" s="112">
        <v>4962</v>
      </c>
      <c r="I738" s="76" t="s">
        <v>889</v>
      </c>
      <c r="J738" s="218" t="s">
        <v>69</v>
      </c>
      <c r="K738" s="417" t="s">
        <v>2536</v>
      </c>
      <c r="L738" s="17" t="s">
        <v>2</v>
      </c>
      <c r="M738" s="108" t="s">
        <v>894</v>
      </c>
      <c r="N738" s="230"/>
      <c r="O738" s="205"/>
    </row>
    <row r="739" spans="1:15" s="45" customFormat="1" x14ac:dyDescent="0.25">
      <c r="A739" s="189" t="s">
        <v>896</v>
      </c>
      <c r="B739" s="237" t="s">
        <v>887</v>
      </c>
      <c r="C739" s="252" t="s">
        <v>4224</v>
      </c>
      <c r="D739" s="41">
        <v>48.820270000000001</v>
      </c>
      <c r="E739" s="41">
        <v>7.6259899999999998</v>
      </c>
      <c r="F739" s="116">
        <f t="shared" si="26"/>
        <v>5196.25</v>
      </c>
      <c r="G739" s="27">
        <f>(G737+H737)/2</f>
        <v>5301.5</v>
      </c>
      <c r="H739" s="112">
        <f>(H737+H738)/2</f>
        <v>5091</v>
      </c>
      <c r="I739" s="199" t="s">
        <v>60</v>
      </c>
      <c r="J739" s="618" t="s">
        <v>147</v>
      </c>
      <c r="K739" s="417" t="s">
        <v>2536</v>
      </c>
      <c r="L739" s="17" t="s">
        <v>14</v>
      </c>
      <c r="M739" s="108" t="s">
        <v>2886</v>
      </c>
      <c r="N739" s="230"/>
      <c r="O739" s="208" t="s">
        <v>2887</v>
      </c>
    </row>
    <row r="740" spans="1:15" s="45" customFormat="1" x14ac:dyDescent="0.25">
      <c r="A740" s="189" t="s">
        <v>896</v>
      </c>
      <c r="B740" s="237" t="s">
        <v>887</v>
      </c>
      <c r="C740" s="252" t="s">
        <v>4224</v>
      </c>
      <c r="D740" s="41">
        <v>48.820270000000001</v>
      </c>
      <c r="E740" s="41">
        <v>7.6259899999999998</v>
      </c>
      <c r="F740" s="116">
        <f t="shared" si="26"/>
        <v>5196.25</v>
      </c>
      <c r="G740" s="27">
        <f>(G737+H737)/2</f>
        <v>5301.5</v>
      </c>
      <c r="H740" s="112">
        <f>(H737+H738)/2</f>
        <v>5091</v>
      </c>
      <c r="I740" s="199" t="s">
        <v>41</v>
      </c>
      <c r="J740" s="618" t="s">
        <v>2617</v>
      </c>
      <c r="K740" s="417" t="s">
        <v>2536</v>
      </c>
      <c r="L740" s="17" t="s">
        <v>14</v>
      </c>
      <c r="M740" s="108" t="s">
        <v>2889</v>
      </c>
      <c r="N740" s="230"/>
      <c r="O740" s="208" t="s">
        <v>2888</v>
      </c>
    </row>
    <row r="741" spans="1:15" s="45" customFormat="1" x14ac:dyDescent="0.25">
      <c r="A741" s="189" t="s">
        <v>896</v>
      </c>
      <c r="B741" s="237" t="s">
        <v>2891</v>
      </c>
      <c r="C741" s="252" t="s">
        <v>4224</v>
      </c>
      <c r="D741" s="41">
        <v>48.256979999999999</v>
      </c>
      <c r="E741" s="41">
        <v>4.0953499999999998</v>
      </c>
      <c r="F741" s="116">
        <f t="shared" si="26"/>
        <v>5060.5</v>
      </c>
      <c r="G741" s="27">
        <v>5209</v>
      </c>
      <c r="H741" s="112">
        <v>4912</v>
      </c>
      <c r="I741" s="76" t="s">
        <v>10</v>
      </c>
      <c r="J741" s="218" t="s">
        <v>69</v>
      </c>
      <c r="K741" s="417" t="s">
        <v>2536</v>
      </c>
      <c r="L741" s="17" t="s">
        <v>69</v>
      </c>
      <c r="M741" s="108" t="s">
        <v>890</v>
      </c>
      <c r="N741" s="230"/>
      <c r="O741" s="205"/>
    </row>
    <row r="742" spans="1:15" s="45" customFormat="1" x14ac:dyDescent="0.25">
      <c r="A742" s="189" t="s">
        <v>896</v>
      </c>
      <c r="B742" s="237" t="s">
        <v>2892</v>
      </c>
      <c r="C742" s="252" t="s">
        <v>4224</v>
      </c>
      <c r="D742" s="41">
        <v>48.635289999999998</v>
      </c>
      <c r="E742" s="41">
        <v>4.7144599999999999</v>
      </c>
      <c r="F742" s="116">
        <f t="shared" si="26"/>
        <v>4950</v>
      </c>
      <c r="G742" s="27">
        <v>5200</v>
      </c>
      <c r="H742" s="112">
        <v>4700</v>
      </c>
      <c r="I742" s="76" t="s">
        <v>189</v>
      </c>
      <c r="J742" s="218" t="s">
        <v>264</v>
      </c>
      <c r="K742" s="417" t="s">
        <v>2536</v>
      </c>
      <c r="L742" s="17" t="s">
        <v>69</v>
      </c>
      <c r="M742" s="108" t="s">
        <v>891</v>
      </c>
      <c r="N742" s="230"/>
      <c r="O742" s="205"/>
    </row>
    <row r="743" spans="1:15" s="45" customFormat="1" ht="15.75" thickBot="1" x14ac:dyDescent="0.3">
      <c r="A743" s="189" t="s">
        <v>896</v>
      </c>
      <c r="B743" s="237" t="s">
        <v>2893</v>
      </c>
      <c r="C743" s="252" t="s">
        <v>4224</v>
      </c>
      <c r="D743" s="563">
        <v>48.668959999999998</v>
      </c>
      <c r="E743" s="245">
        <v>4.73421</v>
      </c>
      <c r="F743" s="116">
        <f t="shared" ref="F743" si="27">AVERAGE(G743:H743)</f>
        <v>4950</v>
      </c>
      <c r="G743" s="27">
        <v>5200</v>
      </c>
      <c r="H743" s="112">
        <v>4700</v>
      </c>
      <c r="I743" s="76" t="s">
        <v>2490</v>
      </c>
      <c r="J743" s="218" t="s">
        <v>69</v>
      </c>
      <c r="K743" s="417" t="s">
        <v>2536</v>
      </c>
      <c r="L743" s="17" t="s">
        <v>69</v>
      </c>
      <c r="M743" s="108" t="s">
        <v>2890</v>
      </c>
      <c r="N743" s="230"/>
      <c r="O743" s="205" t="s">
        <v>2894</v>
      </c>
    </row>
    <row r="744" spans="1:15" s="45" customFormat="1" ht="15.75" thickBot="1" x14ac:dyDescent="0.3">
      <c r="A744" s="189" t="s">
        <v>896</v>
      </c>
      <c r="B744" s="237" t="s">
        <v>892</v>
      </c>
      <c r="C744" s="252" t="s">
        <v>4224</v>
      </c>
      <c r="D744" s="41">
        <v>49.419049999999999</v>
      </c>
      <c r="E744" s="41">
        <v>4.0077400000000001</v>
      </c>
      <c r="F744" s="116">
        <f t="shared" si="26"/>
        <v>5065.5</v>
      </c>
      <c r="G744" s="27">
        <v>5193</v>
      </c>
      <c r="H744" s="112">
        <v>4938</v>
      </c>
      <c r="I744" s="178" t="s">
        <v>126</v>
      </c>
      <c r="J744" s="218" t="s">
        <v>69</v>
      </c>
      <c r="K744" s="417" t="s">
        <v>2536</v>
      </c>
      <c r="L744" s="17" t="s">
        <v>14</v>
      </c>
      <c r="M744" s="108" t="s">
        <v>893</v>
      </c>
      <c r="N744" s="230"/>
      <c r="O744" s="205"/>
    </row>
    <row r="745" spans="1:15" s="45" customFormat="1" x14ac:dyDescent="0.25">
      <c r="A745" s="189" t="s">
        <v>896</v>
      </c>
      <c r="B745" s="237" t="s">
        <v>2917</v>
      </c>
      <c r="C745" s="252" t="s">
        <v>4224</v>
      </c>
      <c r="D745" s="563">
        <v>48.496659999999999</v>
      </c>
      <c r="E745" s="564">
        <v>7.4705199999999996</v>
      </c>
      <c r="F745" s="116">
        <f t="shared" si="26"/>
        <v>4600</v>
      </c>
      <c r="G745" s="27">
        <v>4700</v>
      </c>
      <c r="H745" s="112">
        <v>4500</v>
      </c>
      <c r="I745" s="199" t="s">
        <v>41</v>
      </c>
      <c r="J745" s="618" t="s">
        <v>69</v>
      </c>
      <c r="K745" s="417" t="s">
        <v>2941</v>
      </c>
      <c r="L745" s="17" t="s">
        <v>69</v>
      </c>
      <c r="M745" s="619" t="s">
        <v>2895</v>
      </c>
      <c r="N745" s="230"/>
      <c r="O745" s="205"/>
    </row>
    <row r="746" spans="1:15" s="45" customFormat="1" x14ac:dyDescent="0.25">
      <c r="A746" s="189" t="s">
        <v>896</v>
      </c>
      <c r="B746" s="237" t="s">
        <v>2917</v>
      </c>
      <c r="C746" s="252" t="s">
        <v>4224</v>
      </c>
      <c r="D746" s="563">
        <v>48.496659999999999</v>
      </c>
      <c r="E746" s="564">
        <v>7.4705199999999996</v>
      </c>
      <c r="F746" s="116">
        <f t="shared" si="26"/>
        <v>4600</v>
      </c>
      <c r="G746" s="27">
        <v>4700</v>
      </c>
      <c r="H746" s="112">
        <v>4500</v>
      </c>
      <c r="I746" s="199" t="s">
        <v>314</v>
      </c>
      <c r="J746" s="618" t="s">
        <v>69</v>
      </c>
      <c r="K746" s="417" t="s">
        <v>2942</v>
      </c>
      <c r="L746" s="17" t="s">
        <v>69</v>
      </c>
      <c r="M746" s="619" t="s">
        <v>2896</v>
      </c>
      <c r="N746" s="230"/>
      <c r="O746" s="205"/>
    </row>
    <row r="747" spans="1:15" s="45" customFormat="1" x14ac:dyDescent="0.25">
      <c r="A747" s="189" t="s">
        <v>896</v>
      </c>
      <c r="B747" s="237" t="s">
        <v>2917</v>
      </c>
      <c r="C747" s="252" t="s">
        <v>4224</v>
      </c>
      <c r="D747" s="563">
        <v>48.496659999999999</v>
      </c>
      <c r="E747" s="564">
        <v>7.4705199999999996</v>
      </c>
      <c r="F747" s="116">
        <f t="shared" si="26"/>
        <v>4600</v>
      </c>
      <c r="G747" s="27">
        <v>4700</v>
      </c>
      <c r="H747" s="112">
        <v>4500</v>
      </c>
      <c r="I747" s="199" t="s">
        <v>2918</v>
      </c>
      <c r="J747" s="618" t="s">
        <v>69</v>
      </c>
      <c r="K747" s="417" t="s">
        <v>2942</v>
      </c>
      <c r="L747" s="17" t="s">
        <v>69</v>
      </c>
      <c r="M747" s="619" t="s">
        <v>2897</v>
      </c>
      <c r="N747" s="230"/>
      <c r="O747" s="205"/>
    </row>
    <row r="748" spans="1:15" s="45" customFormat="1" x14ac:dyDescent="0.25">
      <c r="A748" s="189" t="s">
        <v>896</v>
      </c>
      <c r="B748" s="237" t="s">
        <v>2917</v>
      </c>
      <c r="C748" s="252" t="s">
        <v>4224</v>
      </c>
      <c r="D748" s="563">
        <v>48.496659999999999</v>
      </c>
      <c r="E748" s="564">
        <v>7.4705199999999996</v>
      </c>
      <c r="F748" s="116">
        <f t="shared" si="26"/>
        <v>4600</v>
      </c>
      <c r="G748" s="27">
        <v>4700</v>
      </c>
      <c r="H748" s="112">
        <v>4500</v>
      </c>
      <c r="I748" s="199" t="s">
        <v>2918</v>
      </c>
      <c r="J748" s="618" t="s">
        <v>69</v>
      </c>
      <c r="K748" s="417" t="s">
        <v>2942</v>
      </c>
      <c r="L748" s="17" t="s">
        <v>69</v>
      </c>
      <c r="M748" s="619" t="s">
        <v>2898</v>
      </c>
      <c r="N748" s="230"/>
      <c r="O748" s="205"/>
    </row>
    <row r="749" spans="1:15" s="45" customFormat="1" x14ac:dyDescent="0.25">
      <c r="A749" s="189" t="s">
        <v>896</v>
      </c>
      <c r="B749" s="237" t="s">
        <v>2917</v>
      </c>
      <c r="C749" s="252" t="s">
        <v>4224</v>
      </c>
      <c r="D749" s="563">
        <v>48.496659999999999</v>
      </c>
      <c r="E749" s="564">
        <v>7.4705199999999996</v>
      </c>
      <c r="F749" s="116">
        <f t="shared" si="26"/>
        <v>4600</v>
      </c>
      <c r="G749" s="27">
        <v>4700</v>
      </c>
      <c r="H749" s="112">
        <v>4500</v>
      </c>
      <c r="I749" s="199" t="s">
        <v>7</v>
      </c>
      <c r="J749" s="618" t="s">
        <v>69</v>
      </c>
      <c r="K749" s="417" t="s">
        <v>2942</v>
      </c>
      <c r="L749" s="17" t="s">
        <v>69</v>
      </c>
      <c r="M749" s="619" t="s">
        <v>2899</v>
      </c>
      <c r="N749" s="230"/>
      <c r="O749" s="205" t="s">
        <v>2946</v>
      </c>
    </row>
    <row r="750" spans="1:15" s="45" customFormat="1" ht="15.75" thickBot="1" x14ac:dyDescent="0.3">
      <c r="A750" s="189" t="s">
        <v>896</v>
      </c>
      <c r="B750" s="237" t="s">
        <v>2917</v>
      </c>
      <c r="C750" s="252" t="s">
        <v>4224</v>
      </c>
      <c r="D750" s="563">
        <v>48.496659999999999</v>
      </c>
      <c r="E750" s="564">
        <v>7.4705199999999996</v>
      </c>
      <c r="F750" s="116">
        <f t="shared" si="26"/>
        <v>4600</v>
      </c>
      <c r="G750" s="27">
        <v>4700</v>
      </c>
      <c r="H750" s="112">
        <v>4500</v>
      </c>
      <c r="I750" s="199" t="s">
        <v>2919</v>
      </c>
      <c r="J750" s="618" t="s">
        <v>69</v>
      </c>
      <c r="K750" s="417" t="s">
        <v>2942</v>
      </c>
      <c r="L750" s="17" t="s">
        <v>69</v>
      </c>
      <c r="M750" s="619" t="s">
        <v>2900</v>
      </c>
      <c r="N750" s="230"/>
      <c r="O750" s="205"/>
    </row>
    <row r="751" spans="1:15" s="45" customFormat="1" ht="15.75" thickBot="1" x14ac:dyDescent="0.3">
      <c r="A751" s="189" t="s">
        <v>896</v>
      </c>
      <c r="B751" s="237" t="s">
        <v>2917</v>
      </c>
      <c r="C751" s="252" t="s">
        <v>4224</v>
      </c>
      <c r="D751" s="563">
        <v>48.496659999999999</v>
      </c>
      <c r="E751" s="564">
        <v>7.4705199999999996</v>
      </c>
      <c r="F751" s="116">
        <f t="shared" si="26"/>
        <v>4635</v>
      </c>
      <c r="G751" s="27">
        <v>4680</v>
      </c>
      <c r="H751" s="112">
        <v>4590</v>
      </c>
      <c r="I751" s="198" t="s">
        <v>2920</v>
      </c>
      <c r="J751" s="618" t="s">
        <v>69</v>
      </c>
      <c r="K751" s="417" t="s">
        <v>2942</v>
      </c>
      <c r="L751" s="17" t="s">
        <v>69</v>
      </c>
      <c r="M751" s="619" t="s">
        <v>2901</v>
      </c>
      <c r="N751" s="230"/>
      <c r="O751" s="205"/>
    </row>
    <row r="752" spans="1:15" s="45" customFormat="1" x14ac:dyDescent="0.25">
      <c r="A752" s="189" t="s">
        <v>896</v>
      </c>
      <c r="B752" s="237" t="s">
        <v>2917</v>
      </c>
      <c r="C752" s="252" t="s">
        <v>4224</v>
      </c>
      <c r="D752" s="563">
        <v>48.496659999999999</v>
      </c>
      <c r="E752" s="564">
        <v>7.4705199999999996</v>
      </c>
      <c r="F752" s="116">
        <f t="shared" si="26"/>
        <v>4600</v>
      </c>
      <c r="G752" s="27">
        <v>4700</v>
      </c>
      <c r="H752" s="112">
        <v>4500</v>
      </c>
      <c r="I752" s="199" t="s">
        <v>78</v>
      </c>
      <c r="J752" s="618" t="s">
        <v>69</v>
      </c>
      <c r="K752" s="417" t="s">
        <v>2942</v>
      </c>
      <c r="L752" s="17" t="s">
        <v>69</v>
      </c>
      <c r="M752" s="619" t="s">
        <v>2902</v>
      </c>
      <c r="N752" s="230"/>
      <c r="O752" s="205" t="s">
        <v>2947</v>
      </c>
    </row>
    <row r="753" spans="1:15" s="45" customFormat="1" x14ac:dyDescent="0.25">
      <c r="A753" s="189" t="s">
        <v>896</v>
      </c>
      <c r="B753" s="237" t="s">
        <v>2917</v>
      </c>
      <c r="C753" s="252" t="s">
        <v>4224</v>
      </c>
      <c r="D753" s="563">
        <v>48.496659999999999</v>
      </c>
      <c r="E753" s="564">
        <v>7.4705199999999996</v>
      </c>
      <c r="F753" s="116">
        <f t="shared" si="26"/>
        <v>4692.5</v>
      </c>
      <c r="G753" s="27">
        <v>4730</v>
      </c>
      <c r="H753" s="112">
        <v>4655</v>
      </c>
      <c r="I753" s="199" t="s">
        <v>2921</v>
      </c>
      <c r="J753" s="618" t="s">
        <v>1063</v>
      </c>
      <c r="K753" s="417" t="s">
        <v>2942</v>
      </c>
      <c r="L753" s="17" t="s">
        <v>14</v>
      </c>
      <c r="M753" s="619" t="s">
        <v>2903</v>
      </c>
      <c r="N753" s="230"/>
      <c r="O753" s="205"/>
    </row>
    <row r="754" spans="1:15" s="45" customFormat="1" x14ac:dyDescent="0.25">
      <c r="A754" s="189" t="s">
        <v>896</v>
      </c>
      <c r="B754" s="237" t="s">
        <v>2917</v>
      </c>
      <c r="C754" s="252" t="s">
        <v>4224</v>
      </c>
      <c r="D754" s="563">
        <v>48.496659999999999</v>
      </c>
      <c r="E754" s="564">
        <v>7.4705199999999996</v>
      </c>
      <c r="F754" s="116">
        <f t="shared" si="26"/>
        <v>4600</v>
      </c>
      <c r="G754" s="27">
        <v>4700</v>
      </c>
      <c r="H754" s="112">
        <v>4500</v>
      </c>
      <c r="I754" s="199" t="s">
        <v>442</v>
      </c>
      <c r="J754" s="421" t="s">
        <v>900</v>
      </c>
      <c r="K754" s="417" t="s">
        <v>2942</v>
      </c>
      <c r="L754" s="17" t="s">
        <v>14</v>
      </c>
      <c r="M754" s="619" t="s">
        <v>2904</v>
      </c>
      <c r="N754" s="230"/>
      <c r="O754" s="205"/>
    </row>
    <row r="755" spans="1:15" s="45" customFormat="1" x14ac:dyDescent="0.25">
      <c r="A755" s="189" t="s">
        <v>896</v>
      </c>
      <c r="B755" s="237" t="s">
        <v>2917</v>
      </c>
      <c r="C755" s="252" t="s">
        <v>4224</v>
      </c>
      <c r="D755" s="563">
        <v>48.496659999999999</v>
      </c>
      <c r="E755" s="564">
        <v>7.4705199999999996</v>
      </c>
      <c r="F755" s="116">
        <f t="shared" si="26"/>
        <v>4600</v>
      </c>
      <c r="G755" s="27">
        <v>4700</v>
      </c>
      <c r="H755" s="112">
        <v>4500</v>
      </c>
      <c r="I755" s="199" t="s">
        <v>60</v>
      </c>
      <c r="J755" s="421" t="s">
        <v>2922</v>
      </c>
      <c r="K755" s="417" t="s">
        <v>2942</v>
      </c>
      <c r="L755" s="17" t="s">
        <v>14</v>
      </c>
      <c r="M755" s="619" t="s">
        <v>2905</v>
      </c>
      <c r="N755" s="230"/>
      <c r="O755" s="205"/>
    </row>
    <row r="756" spans="1:15" s="45" customFormat="1" ht="15.75" thickBot="1" x14ac:dyDescent="0.3">
      <c r="A756" s="189" t="s">
        <v>896</v>
      </c>
      <c r="B756" s="237" t="s">
        <v>2917</v>
      </c>
      <c r="C756" s="252" t="s">
        <v>4224</v>
      </c>
      <c r="D756" s="563">
        <v>48.496659999999999</v>
      </c>
      <c r="E756" s="564">
        <v>7.4705199999999996</v>
      </c>
      <c r="F756" s="116">
        <f t="shared" si="26"/>
        <v>4600</v>
      </c>
      <c r="G756" s="27">
        <v>4700</v>
      </c>
      <c r="H756" s="112">
        <v>4500</v>
      </c>
      <c r="I756" s="199" t="s">
        <v>41</v>
      </c>
      <c r="J756" s="618" t="s">
        <v>69</v>
      </c>
      <c r="K756" s="417" t="s">
        <v>2942</v>
      </c>
      <c r="L756" s="17" t="s">
        <v>69</v>
      </c>
      <c r="M756" s="619" t="s">
        <v>2906</v>
      </c>
      <c r="N756" s="230"/>
      <c r="O756" s="205"/>
    </row>
    <row r="757" spans="1:15" s="45" customFormat="1" ht="15.75" thickBot="1" x14ac:dyDescent="0.3">
      <c r="A757" s="189" t="s">
        <v>896</v>
      </c>
      <c r="B757" s="237" t="s">
        <v>2917</v>
      </c>
      <c r="C757" s="252" t="s">
        <v>4224</v>
      </c>
      <c r="D757" s="563">
        <v>48.496659999999999</v>
      </c>
      <c r="E757" s="564">
        <v>7.4705199999999996</v>
      </c>
      <c r="F757" s="116">
        <f t="shared" si="26"/>
        <v>4600</v>
      </c>
      <c r="G757" s="27">
        <v>4700</v>
      </c>
      <c r="H757" s="112">
        <v>4500</v>
      </c>
      <c r="I757" s="198" t="s">
        <v>6</v>
      </c>
      <c r="J757" s="618" t="s">
        <v>2117</v>
      </c>
      <c r="K757" s="417" t="s">
        <v>2942</v>
      </c>
      <c r="L757" s="17" t="s">
        <v>14</v>
      </c>
      <c r="M757" s="619" t="s">
        <v>2907</v>
      </c>
      <c r="N757" s="230"/>
      <c r="O757" s="205"/>
    </row>
    <row r="758" spans="1:15" s="45" customFormat="1" x14ac:dyDescent="0.25">
      <c r="A758" s="189" t="s">
        <v>896</v>
      </c>
      <c r="B758" s="237" t="s">
        <v>2917</v>
      </c>
      <c r="C758" s="252" t="s">
        <v>4224</v>
      </c>
      <c r="D758" s="563">
        <v>48.496659999999999</v>
      </c>
      <c r="E758" s="564">
        <v>7.4705199999999996</v>
      </c>
      <c r="F758" s="116">
        <f t="shared" si="26"/>
        <v>4600</v>
      </c>
      <c r="G758" s="27">
        <v>4700</v>
      </c>
      <c r="H758" s="112">
        <v>4500</v>
      </c>
      <c r="I758" s="199" t="s">
        <v>314</v>
      </c>
      <c r="J758" s="421" t="s">
        <v>2923</v>
      </c>
      <c r="K758" s="417" t="s">
        <v>2942</v>
      </c>
      <c r="L758" s="17" t="s">
        <v>14</v>
      </c>
      <c r="M758" s="619" t="s">
        <v>2908</v>
      </c>
      <c r="N758" s="230"/>
      <c r="O758" s="205"/>
    </row>
    <row r="759" spans="1:15" s="45" customFormat="1" x14ac:dyDescent="0.25">
      <c r="A759" s="189" t="s">
        <v>896</v>
      </c>
      <c r="B759" s="237" t="s">
        <v>2917</v>
      </c>
      <c r="C759" s="252" t="s">
        <v>4224</v>
      </c>
      <c r="D759" s="563">
        <v>48.496659999999999</v>
      </c>
      <c r="E759" s="564">
        <v>7.4705199999999996</v>
      </c>
      <c r="F759" s="116">
        <f t="shared" si="26"/>
        <v>4682.5</v>
      </c>
      <c r="G759" s="27">
        <v>4725</v>
      </c>
      <c r="H759" s="112">
        <v>4640</v>
      </c>
      <c r="I759" s="199" t="s">
        <v>7</v>
      </c>
      <c r="J759" s="618" t="s">
        <v>69</v>
      </c>
      <c r="K759" s="417" t="s">
        <v>2942</v>
      </c>
      <c r="L759" s="17" t="s">
        <v>2</v>
      </c>
      <c r="M759" s="619" t="s">
        <v>2909</v>
      </c>
      <c r="N759" s="230"/>
      <c r="O759" s="205"/>
    </row>
    <row r="760" spans="1:15" s="45" customFormat="1" x14ac:dyDescent="0.25">
      <c r="A760" s="189" t="s">
        <v>896</v>
      </c>
      <c r="B760" s="237" t="s">
        <v>2917</v>
      </c>
      <c r="C760" s="252" t="s">
        <v>4224</v>
      </c>
      <c r="D760" s="563">
        <v>48.496659999999999</v>
      </c>
      <c r="E760" s="564">
        <v>7.4705199999999996</v>
      </c>
      <c r="F760" s="116">
        <f t="shared" si="26"/>
        <v>4600</v>
      </c>
      <c r="G760" s="27">
        <v>4700</v>
      </c>
      <c r="H760" s="112">
        <v>4500</v>
      </c>
      <c r="I760" s="199" t="s">
        <v>2621</v>
      </c>
      <c r="J760" s="618" t="s">
        <v>69</v>
      </c>
      <c r="K760" s="417" t="s">
        <v>2942</v>
      </c>
      <c r="L760" s="17" t="s">
        <v>69</v>
      </c>
      <c r="M760" s="619" t="s">
        <v>2910</v>
      </c>
      <c r="N760" s="230"/>
      <c r="O760" s="205"/>
    </row>
    <row r="761" spans="1:15" s="45" customFormat="1" ht="15.75" thickBot="1" x14ac:dyDescent="0.3">
      <c r="A761" s="189" t="s">
        <v>896</v>
      </c>
      <c r="B761" s="237" t="s">
        <v>2917</v>
      </c>
      <c r="C761" s="252" t="s">
        <v>4224</v>
      </c>
      <c r="D761" s="563">
        <v>48.496659999999999</v>
      </c>
      <c r="E761" s="564">
        <v>7.4705199999999996</v>
      </c>
      <c r="F761" s="116">
        <f t="shared" si="26"/>
        <v>4600</v>
      </c>
      <c r="G761" s="27">
        <v>4700</v>
      </c>
      <c r="H761" s="112">
        <v>4500</v>
      </c>
      <c r="I761" s="199" t="s">
        <v>81</v>
      </c>
      <c r="J761" s="618" t="s">
        <v>69</v>
      </c>
      <c r="K761" s="417" t="s">
        <v>2942</v>
      </c>
      <c r="L761" s="17" t="s">
        <v>69</v>
      </c>
      <c r="M761" s="619" t="s">
        <v>2911</v>
      </c>
      <c r="N761" s="230"/>
      <c r="O761" s="205"/>
    </row>
    <row r="762" spans="1:15" s="45" customFormat="1" ht="15.75" thickBot="1" x14ac:dyDescent="0.3">
      <c r="A762" s="189" t="s">
        <v>896</v>
      </c>
      <c r="B762" s="237" t="s">
        <v>2917</v>
      </c>
      <c r="C762" s="252" t="s">
        <v>4224</v>
      </c>
      <c r="D762" s="563">
        <v>48.496659999999999</v>
      </c>
      <c r="E762" s="564">
        <v>7.4705199999999996</v>
      </c>
      <c r="F762" s="116">
        <f t="shared" si="26"/>
        <v>4677.5</v>
      </c>
      <c r="G762" s="27">
        <v>4720</v>
      </c>
      <c r="H762" s="112">
        <v>4635</v>
      </c>
      <c r="I762" s="198" t="s">
        <v>1091</v>
      </c>
      <c r="J762" s="618" t="s">
        <v>69</v>
      </c>
      <c r="K762" s="417" t="s">
        <v>2942</v>
      </c>
      <c r="L762" s="17" t="s">
        <v>69</v>
      </c>
      <c r="M762" s="619" t="s">
        <v>2912</v>
      </c>
      <c r="N762" s="230"/>
      <c r="O762" s="205"/>
    </row>
    <row r="763" spans="1:15" s="45" customFormat="1" ht="15.75" thickBot="1" x14ac:dyDescent="0.3">
      <c r="A763" s="189" t="s">
        <v>896</v>
      </c>
      <c r="B763" s="237" t="s">
        <v>2917</v>
      </c>
      <c r="C763" s="252" t="s">
        <v>4224</v>
      </c>
      <c r="D763" s="563">
        <v>48.496659999999999</v>
      </c>
      <c r="E763" s="564">
        <v>7.4705199999999996</v>
      </c>
      <c r="F763" s="116">
        <f t="shared" si="26"/>
        <v>4687.5</v>
      </c>
      <c r="G763" s="27">
        <v>4730</v>
      </c>
      <c r="H763" s="112">
        <v>4645</v>
      </c>
      <c r="I763" s="198" t="s">
        <v>733</v>
      </c>
      <c r="J763" s="618" t="s">
        <v>69</v>
      </c>
      <c r="K763" s="417" t="s">
        <v>2942</v>
      </c>
      <c r="L763" s="17" t="s">
        <v>69</v>
      </c>
      <c r="M763" s="619" t="s">
        <v>2913</v>
      </c>
      <c r="N763" s="230"/>
      <c r="O763" s="205"/>
    </row>
    <row r="764" spans="1:15" s="45" customFormat="1" ht="15.75" thickBot="1" x14ac:dyDescent="0.3">
      <c r="A764" s="189" t="s">
        <v>896</v>
      </c>
      <c r="B764" s="237" t="s">
        <v>2917</v>
      </c>
      <c r="C764" s="252" t="s">
        <v>4224</v>
      </c>
      <c r="D764" s="563">
        <v>48.496659999999999</v>
      </c>
      <c r="E764" s="564">
        <v>7.4705199999999996</v>
      </c>
      <c r="F764" s="116">
        <f t="shared" si="26"/>
        <v>4600</v>
      </c>
      <c r="G764" s="27">
        <v>4700</v>
      </c>
      <c r="H764" s="112">
        <v>4500</v>
      </c>
      <c r="I764" s="198" t="s">
        <v>2491</v>
      </c>
      <c r="J764" s="618" t="s">
        <v>69</v>
      </c>
      <c r="K764" s="417" t="s">
        <v>2942</v>
      </c>
      <c r="L764" s="17" t="s">
        <v>69</v>
      </c>
      <c r="M764" s="619" t="s">
        <v>2914</v>
      </c>
      <c r="N764" s="230"/>
      <c r="O764" s="205"/>
    </row>
    <row r="765" spans="1:15" s="45" customFormat="1" ht="15.75" thickBot="1" x14ac:dyDescent="0.3">
      <c r="A765" s="189" t="s">
        <v>896</v>
      </c>
      <c r="B765" s="237" t="s">
        <v>2917</v>
      </c>
      <c r="C765" s="252" t="s">
        <v>4224</v>
      </c>
      <c r="D765" s="563">
        <v>48.496659999999999</v>
      </c>
      <c r="E765" s="564">
        <v>7.4705199999999996</v>
      </c>
      <c r="F765" s="116">
        <f t="shared" si="26"/>
        <v>4677.5</v>
      </c>
      <c r="G765" s="27">
        <v>4720</v>
      </c>
      <c r="H765" s="112">
        <v>4635</v>
      </c>
      <c r="I765" s="199" t="s">
        <v>7</v>
      </c>
      <c r="J765" s="421" t="s">
        <v>2512</v>
      </c>
      <c r="K765" s="417" t="s">
        <v>2942</v>
      </c>
      <c r="L765" s="17" t="s">
        <v>14</v>
      </c>
      <c r="M765" s="619" t="s">
        <v>2915</v>
      </c>
      <c r="N765" s="230"/>
      <c r="O765" s="205"/>
    </row>
    <row r="766" spans="1:15" s="45" customFormat="1" ht="15.75" thickBot="1" x14ac:dyDescent="0.3">
      <c r="A766" s="189" t="s">
        <v>896</v>
      </c>
      <c r="B766" s="237" t="s">
        <v>2917</v>
      </c>
      <c r="C766" s="252" t="s">
        <v>4224</v>
      </c>
      <c r="D766" s="563">
        <v>48.496659999999999</v>
      </c>
      <c r="E766" s="564">
        <v>7.4705199999999996</v>
      </c>
      <c r="F766" s="116">
        <f t="shared" si="26"/>
        <v>4600</v>
      </c>
      <c r="G766" s="27">
        <v>4700</v>
      </c>
      <c r="H766" s="112">
        <v>4500</v>
      </c>
      <c r="I766" s="198" t="s">
        <v>787</v>
      </c>
      <c r="J766" s="421" t="s">
        <v>900</v>
      </c>
      <c r="K766" s="417" t="s">
        <v>2942</v>
      </c>
      <c r="L766" s="17" t="s">
        <v>14</v>
      </c>
      <c r="M766" s="619" t="s">
        <v>2916</v>
      </c>
      <c r="N766" s="230"/>
      <c r="O766" s="205"/>
    </row>
    <row r="767" spans="1:15" s="45" customFormat="1" x14ac:dyDescent="0.25">
      <c r="A767" s="189" t="s">
        <v>896</v>
      </c>
      <c r="B767" s="237" t="s">
        <v>2917</v>
      </c>
      <c r="C767" s="252" t="s">
        <v>4224</v>
      </c>
      <c r="D767" s="563">
        <v>48.496659999999999</v>
      </c>
      <c r="E767" s="564">
        <v>7.4705199999999996</v>
      </c>
      <c r="F767" s="116">
        <f t="shared" si="26"/>
        <v>4677.5</v>
      </c>
      <c r="G767" s="27">
        <v>4720</v>
      </c>
      <c r="H767" s="112">
        <v>4635</v>
      </c>
      <c r="I767" s="199" t="s">
        <v>38</v>
      </c>
      <c r="J767" s="618" t="s">
        <v>69</v>
      </c>
      <c r="K767" s="417" t="s">
        <v>2942</v>
      </c>
      <c r="L767" s="17" t="s">
        <v>69</v>
      </c>
      <c r="M767" s="619" t="s">
        <v>2925</v>
      </c>
      <c r="N767" s="207"/>
      <c r="O767" s="205"/>
    </row>
    <row r="768" spans="1:15" s="45" customFormat="1" x14ac:dyDescent="0.25">
      <c r="A768" s="189" t="s">
        <v>896</v>
      </c>
      <c r="B768" s="237" t="s">
        <v>2917</v>
      </c>
      <c r="C768" s="252" t="s">
        <v>4224</v>
      </c>
      <c r="D768" s="563">
        <v>48.496659999999999</v>
      </c>
      <c r="E768" s="564">
        <v>7.4705199999999996</v>
      </c>
      <c r="F768" s="116">
        <f t="shared" si="26"/>
        <v>4600</v>
      </c>
      <c r="G768" s="27">
        <v>4700</v>
      </c>
      <c r="H768" s="112">
        <v>4500</v>
      </c>
      <c r="I768" s="199" t="s">
        <v>7</v>
      </c>
      <c r="J768" s="421" t="s">
        <v>2924</v>
      </c>
      <c r="K768" s="417" t="s">
        <v>2942</v>
      </c>
      <c r="L768" s="17" t="s">
        <v>14</v>
      </c>
      <c r="M768" s="619" t="s">
        <v>2926</v>
      </c>
      <c r="N768" s="207"/>
      <c r="O768" s="205"/>
    </row>
    <row r="769" spans="1:15" s="45" customFormat="1" ht="15.75" thickBot="1" x14ac:dyDescent="0.3">
      <c r="A769" s="189" t="s">
        <v>896</v>
      </c>
      <c r="B769" s="237" t="s">
        <v>2945</v>
      </c>
      <c r="C769" s="252" t="s">
        <v>4224</v>
      </c>
      <c r="D769" s="563">
        <v>48.235689999999998</v>
      </c>
      <c r="E769" s="245">
        <v>4.1126300000000002</v>
      </c>
      <c r="F769" s="116">
        <f t="shared" si="26"/>
        <v>4446</v>
      </c>
      <c r="G769" s="27">
        <v>4527</v>
      </c>
      <c r="H769" s="112">
        <v>4365</v>
      </c>
      <c r="I769" s="199" t="s">
        <v>442</v>
      </c>
      <c r="J769" s="218" t="s">
        <v>69</v>
      </c>
      <c r="K769" s="417" t="s">
        <v>2942</v>
      </c>
      <c r="L769" s="17" t="s">
        <v>69</v>
      </c>
      <c r="M769" s="619" t="s">
        <v>2927</v>
      </c>
      <c r="N769" s="230"/>
      <c r="O769" s="205"/>
    </row>
    <row r="770" spans="1:15" s="45" customFormat="1" ht="15.75" thickBot="1" x14ac:dyDescent="0.3">
      <c r="A770" s="189" t="s">
        <v>896</v>
      </c>
      <c r="B770" s="237" t="s">
        <v>2945</v>
      </c>
      <c r="C770" s="252" t="s">
        <v>4224</v>
      </c>
      <c r="D770" s="563">
        <v>48.235689999999998</v>
      </c>
      <c r="E770" s="245">
        <v>4.1126300000000002</v>
      </c>
      <c r="F770" s="116">
        <f t="shared" si="26"/>
        <v>4405</v>
      </c>
      <c r="G770" s="27">
        <v>4464</v>
      </c>
      <c r="H770" s="112">
        <v>4346</v>
      </c>
      <c r="I770" s="198" t="s">
        <v>430</v>
      </c>
      <c r="J770" s="218" t="s">
        <v>69</v>
      </c>
      <c r="K770" s="417" t="s">
        <v>2942</v>
      </c>
      <c r="L770" s="17" t="s">
        <v>69</v>
      </c>
      <c r="M770" s="619" t="s">
        <v>2928</v>
      </c>
      <c r="N770" s="230"/>
      <c r="O770" s="205"/>
    </row>
    <row r="771" spans="1:15" s="45" customFormat="1" ht="15.75" thickBot="1" x14ac:dyDescent="0.3">
      <c r="A771" s="189" t="s">
        <v>896</v>
      </c>
      <c r="B771" s="237" t="s">
        <v>2945</v>
      </c>
      <c r="C771" s="252" t="s">
        <v>4224</v>
      </c>
      <c r="D771" s="563">
        <v>48.235689999999998</v>
      </c>
      <c r="E771" s="245">
        <v>4.1126300000000002</v>
      </c>
      <c r="F771" s="116">
        <f t="shared" si="26"/>
        <v>4300</v>
      </c>
      <c r="G771" s="27">
        <v>4400</v>
      </c>
      <c r="H771" s="112">
        <v>4200</v>
      </c>
      <c r="I771" s="198" t="s">
        <v>352</v>
      </c>
      <c r="J771" s="218" t="s">
        <v>69</v>
      </c>
      <c r="K771" s="417" t="s">
        <v>2942</v>
      </c>
      <c r="L771" s="17" t="s">
        <v>69</v>
      </c>
      <c r="M771" s="108" t="s">
        <v>2944</v>
      </c>
      <c r="N771" s="230"/>
      <c r="O771" s="205"/>
    </row>
    <row r="772" spans="1:15" s="45" customFormat="1" x14ac:dyDescent="0.25">
      <c r="A772" s="189" t="s">
        <v>896</v>
      </c>
      <c r="B772" s="237" t="s">
        <v>2945</v>
      </c>
      <c r="C772" s="252" t="s">
        <v>4224</v>
      </c>
      <c r="D772" s="563">
        <v>48.235689999999998</v>
      </c>
      <c r="E772" s="245">
        <v>4.1126300000000002</v>
      </c>
      <c r="F772" s="116">
        <f t="shared" ref="F772" si="28">AVERAGE(G772:H772)</f>
        <v>4300</v>
      </c>
      <c r="G772" s="27">
        <v>4400</v>
      </c>
      <c r="H772" s="112">
        <v>4200</v>
      </c>
      <c r="I772" s="199" t="s">
        <v>1377</v>
      </c>
      <c r="J772" s="618" t="s">
        <v>3006</v>
      </c>
      <c r="K772" s="417" t="s">
        <v>2942</v>
      </c>
      <c r="L772" s="17" t="s">
        <v>14</v>
      </c>
      <c r="M772" s="108" t="s">
        <v>3007</v>
      </c>
      <c r="N772" s="230"/>
      <c r="O772" s="205"/>
    </row>
    <row r="773" spans="1:15" s="45" customFormat="1" x14ac:dyDescent="0.25">
      <c r="A773" s="366" t="s">
        <v>3125</v>
      </c>
      <c r="B773" s="237" t="s">
        <v>3130</v>
      </c>
      <c r="C773" s="252" t="s">
        <v>4224</v>
      </c>
      <c r="D773" s="192">
        <v>48.554456999999999</v>
      </c>
      <c r="E773" s="192">
        <v>7.6817489999999999</v>
      </c>
      <c r="F773" s="348">
        <v>4650</v>
      </c>
      <c r="G773" s="349">
        <v>4800</v>
      </c>
      <c r="H773" s="349">
        <v>4500</v>
      </c>
      <c r="I773" s="188" t="s">
        <v>7</v>
      </c>
      <c r="J773" s="91" t="s">
        <v>420</v>
      </c>
      <c r="K773" s="417" t="s">
        <v>3011</v>
      </c>
      <c r="L773" s="17" t="s">
        <v>14</v>
      </c>
      <c r="M773" s="231" t="s">
        <v>3132</v>
      </c>
      <c r="N773" s="230"/>
      <c r="O773" s="205" t="s">
        <v>3126</v>
      </c>
    </row>
    <row r="774" spans="1:15" s="45" customFormat="1" x14ac:dyDescent="0.25">
      <c r="A774" s="366" t="s">
        <v>3127</v>
      </c>
      <c r="B774" s="237" t="s">
        <v>3130</v>
      </c>
      <c r="C774" s="252" t="s">
        <v>4224</v>
      </c>
      <c r="D774" s="192">
        <v>48.554456999999999</v>
      </c>
      <c r="E774" s="192">
        <v>7.6817489999999999</v>
      </c>
      <c r="F774" s="348">
        <v>4675</v>
      </c>
      <c r="G774" s="349">
        <v>4780</v>
      </c>
      <c r="H774" s="349">
        <v>4557</v>
      </c>
      <c r="I774" s="111" t="s">
        <v>559</v>
      </c>
      <c r="J774" s="2" t="s">
        <v>3086</v>
      </c>
      <c r="K774" s="417" t="s">
        <v>3011</v>
      </c>
      <c r="L774" s="17" t="s">
        <v>14</v>
      </c>
      <c r="M774" s="231" t="s">
        <v>3131</v>
      </c>
      <c r="N774" s="230"/>
      <c r="O774" s="205"/>
    </row>
    <row r="775" spans="1:15" s="45" customFormat="1" x14ac:dyDescent="0.25">
      <c r="A775" s="366" t="s">
        <v>3128</v>
      </c>
      <c r="B775" s="237" t="s">
        <v>3130</v>
      </c>
      <c r="C775" s="252" t="s">
        <v>4224</v>
      </c>
      <c r="D775" s="192">
        <v>48.554456999999999</v>
      </c>
      <c r="E775" s="192">
        <v>7.6817489999999999</v>
      </c>
      <c r="F775" s="542">
        <f>(G775+H775)/2</f>
        <v>4683.5</v>
      </c>
      <c r="G775" s="565">
        <v>4766</v>
      </c>
      <c r="H775" s="565">
        <v>4601</v>
      </c>
      <c r="I775" s="217" t="s">
        <v>314</v>
      </c>
      <c r="J775" s="618" t="s">
        <v>69</v>
      </c>
      <c r="K775" s="417" t="s">
        <v>3011</v>
      </c>
      <c r="L775" s="17" t="s">
        <v>69</v>
      </c>
      <c r="M775" s="87" t="s">
        <v>3129</v>
      </c>
      <c r="N775" s="230"/>
      <c r="O775" s="205"/>
    </row>
    <row r="776" spans="1:15" s="45" customFormat="1" x14ac:dyDescent="0.25">
      <c r="A776" s="665" t="s">
        <v>4260</v>
      </c>
      <c r="B776" s="669"/>
      <c r="C776" s="668"/>
      <c r="D776" s="684">
        <f>AVERAGE(D643:D775)</f>
        <v>48.266157409022505</v>
      </c>
      <c r="E776" s="684">
        <f>AVERAGE(E643:E775)</f>
        <v>4.9024538864661631</v>
      </c>
      <c r="F776" s="685">
        <f>AVERAGE(F643:F775)</f>
        <v>4625.0111707841061</v>
      </c>
      <c r="G776" s="12"/>
      <c r="H776" s="113"/>
      <c r="I776" s="359"/>
      <c r="J776" s="281"/>
      <c r="K776" s="232"/>
      <c r="L776" s="29"/>
      <c r="M776" s="232"/>
      <c r="N776" s="354"/>
      <c r="O776" s="325"/>
    </row>
    <row r="777" spans="1:15" s="2" customFormat="1" x14ac:dyDescent="0.25">
      <c r="A777" s="107" t="s">
        <v>4228</v>
      </c>
      <c r="B777" s="367"/>
      <c r="C777" s="404"/>
      <c r="D777" s="14"/>
      <c r="E777" s="14"/>
      <c r="F777" s="385"/>
      <c r="G777" s="12"/>
      <c r="H777" s="113"/>
      <c r="I777" s="281"/>
      <c r="J777" s="281"/>
      <c r="K777" s="370"/>
      <c r="L777" s="29"/>
      <c r="M777" s="232"/>
      <c r="N777" s="354"/>
      <c r="O777" s="61"/>
    </row>
    <row r="778" spans="1:15" x14ac:dyDescent="0.25">
      <c r="B778" s="367"/>
      <c r="C778" s="404"/>
      <c r="D778" s="14"/>
      <c r="E778" s="14"/>
      <c r="F778" s="385"/>
      <c r="G778" s="12"/>
      <c r="H778" s="113"/>
      <c r="I778" s="281"/>
      <c r="J778" s="281"/>
      <c r="K778" s="370"/>
      <c r="L778" s="29"/>
      <c r="M778" s="232"/>
      <c r="N778" s="354"/>
      <c r="O778" s="61"/>
    </row>
    <row r="779" spans="1:15" x14ac:dyDescent="0.25">
      <c r="A779" s="2"/>
      <c r="B779" s="61"/>
      <c r="C779" s="366"/>
      <c r="D779" s="29"/>
      <c r="E779" s="29"/>
      <c r="F779" s="385"/>
      <c r="G779" s="61"/>
      <c r="H779" s="61"/>
      <c r="I779" s="61"/>
      <c r="J779" s="61"/>
      <c r="K779" s="325"/>
      <c r="L779" s="61"/>
      <c r="M779" s="325"/>
      <c r="N779" s="388"/>
      <c r="O779" s="61"/>
    </row>
    <row r="780" spans="1:15" ht="31.5" x14ac:dyDescent="0.5">
      <c r="A780" s="401" t="s">
        <v>4242</v>
      </c>
      <c r="B780" s="367"/>
      <c r="C780" s="368"/>
      <c r="D780" s="8"/>
      <c r="E780" s="8"/>
      <c r="F780" s="117"/>
      <c r="G780" s="8"/>
      <c r="N780" s="354"/>
      <c r="O780" s="325"/>
    </row>
    <row r="781" spans="1:15" s="415" customFormat="1" ht="13.15" customHeight="1" x14ac:dyDescent="0.25">
      <c r="A781" s="411"/>
      <c r="B781" s="566"/>
      <c r="C781" s="567"/>
      <c r="D781" s="412"/>
      <c r="E781" s="412"/>
      <c r="F781" s="413"/>
      <c r="G781" s="412"/>
      <c r="H781" s="568"/>
      <c r="I781" s="414"/>
      <c r="J781" s="414"/>
      <c r="K781" s="194"/>
      <c r="L781" s="620"/>
      <c r="M781" s="194"/>
      <c r="N781" s="399"/>
      <c r="O781" s="614"/>
    </row>
    <row r="782" spans="1:15" s="415" customFormat="1" ht="13.15" customHeight="1" x14ac:dyDescent="0.2">
      <c r="A782" s="674" t="s">
        <v>4280</v>
      </c>
      <c r="B782" s="805"/>
      <c r="C782" s="567"/>
      <c r="D782" s="412"/>
      <c r="E782" s="412"/>
      <c r="F782" s="413"/>
      <c r="G782" s="412"/>
      <c r="H782" s="568"/>
      <c r="I782" s="414"/>
      <c r="J782" s="414"/>
      <c r="K782" s="194"/>
      <c r="L782" s="620"/>
      <c r="M782" s="194"/>
      <c r="N782" s="399"/>
      <c r="O782" s="614"/>
    </row>
    <row r="783" spans="1:15" s="100" customFormat="1" ht="32.450000000000003" customHeight="1" x14ac:dyDescent="0.25">
      <c r="A783" s="507" t="s">
        <v>4291</v>
      </c>
      <c r="B783" s="508" t="s">
        <v>1247</v>
      </c>
      <c r="C783" s="509" t="s">
        <v>0</v>
      </c>
      <c r="D783" s="510" t="s">
        <v>969</v>
      </c>
      <c r="E783" s="510" t="s">
        <v>2323</v>
      </c>
      <c r="F783" s="510" t="s">
        <v>398</v>
      </c>
      <c r="G783" s="511" t="s">
        <v>399</v>
      </c>
      <c r="H783" s="512" t="s">
        <v>400</v>
      </c>
      <c r="I783" s="101" t="s">
        <v>2322</v>
      </c>
      <c r="J783" s="589" t="s">
        <v>3927</v>
      </c>
      <c r="K783" s="590" t="s">
        <v>3250</v>
      </c>
      <c r="L783" s="591" t="s">
        <v>1</v>
      </c>
      <c r="M783" s="590" t="s">
        <v>3486</v>
      </c>
      <c r="N783" s="640" t="s">
        <v>3487</v>
      </c>
      <c r="O783" s="339" t="s">
        <v>2324</v>
      </c>
    </row>
    <row r="784" spans="1:15" x14ac:dyDescent="0.25">
      <c r="A784" s="87" t="s">
        <v>4211</v>
      </c>
      <c r="B784" s="237" t="s">
        <v>967</v>
      </c>
      <c r="C784" s="252" t="s">
        <v>966</v>
      </c>
      <c r="D784" s="17">
        <v>40.32</v>
      </c>
      <c r="E784" s="17">
        <v>22.58</v>
      </c>
      <c r="F784" s="118">
        <v>6351</v>
      </c>
      <c r="G784" s="17">
        <v>6438</v>
      </c>
      <c r="H784" s="112">
        <v>6264</v>
      </c>
      <c r="I784" s="97" t="s">
        <v>889</v>
      </c>
      <c r="J784" s="40" t="s">
        <v>69</v>
      </c>
      <c r="K784" s="194" t="s">
        <v>2513</v>
      </c>
      <c r="L784" s="17" t="s">
        <v>2</v>
      </c>
      <c r="M784" s="108" t="s">
        <v>968</v>
      </c>
      <c r="O784" s="205" t="s">
        <v>2822</v>
      </c>
    </row>
    <row r="785" spans="1:15" ht="15.75" thickBot="1" x14ac:dyDescent="0.3">
      <c r="A785" s="87" t="s">
        <v>545</v>
      </c>
      <c r="B785" s="208" t="s">
        <v>2845</v>
      </c>
      <c r="C785" s="208" t="s">
        <v>4214</v>
      </c>
      <c r="D785" s="41">
        <v>41.9</v>
      </c>
      <c r="E785" s="41">
        <v>21.35</v>
      </c>
      <c r="F785" s="118">
        <f>(G785+H785)/2</f>
        <v>5857</v>
      </c>
      <c r="G785" s="17">
        <v>5979</v>
      </c>
      <c r="H785" s="112">
        <v>5735</v>
      </c>
      <c r="I785" s="184" t="s">
        <v>144</v>
      </c>
      <c r="J785" s="186" t="s">
        <v>2846</v>
      </c>
      <c r="K785" s="194" t="s">
        <v>594</v>
      </c>
      <c r="L785" s="17" t="s">
        <v>14</v>
      </c>
      <c r="M785" s="108" t="s">
        <v>2847</v>
      </c>
      <c r="N785" s="230" t="s">
        <v>2848</v>
      </c>
      <c r="O785" s="205"/>
    </row>
    <row r="786" spans="1:15" ht="15.75" thickBot="1" x14ac:dyDescent="0.3">
      <c r="A786" s="87" t="s">
        <v>545</v>
      </c>
      <c r="B786" s="208" t="s">
        <v>2867</v>
      </c>
      <c r="C786" s="252" t="s">
        <v>966</v>
      </c>
      <c r="D786" s="41">
        <v>36.638333330000002</v>
      </c>
      <c r="E786" s="41">
        <v>22.3825</v>
      </c>
      <c r="F786" s="118">
        <f>(G786+H786)/2</f>
        <v>5942</v>
      </c>
      <c r="G786" s="27">
        <v>6005</v>
      </c>
      <c r="H786" s="17">
        <v>5879</v>
      </c>
      <c r="I786" s="185" t="s">
        <v>2819</v>
      </c>
      <c r="J786" s="186" t="s">
        <v>69</v>
      </c>
      <c r="K786" s="108" t="s">
        <v>2868</v>
      </c>
      <c r="M786" s="108" t="s">
        <v>2865</v>
      </c>
      <c r="N786" s="230" t="s">
        <v>2866</v>
      </c>
      <c r="O786" s="205"/>
    </row>
    <row r="787" spans="1:15" s="2" customFormat="1" ht="15.75" thickBot="1" x14ac:dyDescent="0.3">
      <c r="A787" s="87" t="s">
        <v>2297</v>
      </c>
      <c r="B787" s="205" t="s">
        <v>2366</v>
      </c>
      <c r="C787" s="252" t="s">
        <v>966</v>
      </c>
      <c r="D787" s="17">
        <v>40.587899999999998</v>
      </c>
      <c r="E787" s="17">
        <v>22.251200000000001</v>
      </c>
      <c r="F787" s="116">
        <f>(G787+H787)/2</f>
        <v>6234.5</v>
      </c>
      <c r="G787" s="17">
        <f>8327-1949</f>
        <v>6378</v>
      </c>
      <c r="H787" s="112">
        <f>8040-1949</f>
        <v>6091</v>
      </c>
      <c r="I787" s="174" t="s">
        <v>2367</v>
      </c>
      <c r="J787" s="593" t="s">
        <v>69</v>
      </c>
      <c r="K787" s="417" t="s">
        <v>2513</v>
      </c>
      <c r="L787" s="17" t="s">
        <v>2</v>
      </c>
      <c r="M787" s="108" t="s">
        <v>2368</v>
      </c>
      <c r="N787" s="230"/>
      <c r="O787" s="205"/>
    </row>
    <row r="788" spans="1:15" s="2" customFormat="1" ht="15.75" thickBot="1" x14ac:dyDescent="0.3">
      <c r="A788" s="87" t="s">
        <v>2297</v>
      </c>
      <c r="B788" s="205" t="s">
        <v>2366</v>
      </c>
      <c r="C788" s="252" t="s">
        <v>966</v>
      </c>
      <c r="D788" s="17">
        <v>40.587899999999998</v>
      </c>
      <c r="E788" s="17">
        <v>22.251200000000001</v>
      </c>
      <c r="F788" s="118">
        <f>(G788+H788)/2</f>
        <v>6149</v>
      </c>
      <c r="G788" s="17">
        <f>8173-1949</f>
        <v>6224</v>
      </c>
      <c r="H788" s="112">
        <f>8023-1949</f>
        <v>6074</v>
      </c>
      <c r="I788" s="174" t="s">
        <v>6</v>
      </c>
      <c r="J788" s="593" t="s">
        <v>69</v>
      </c>
      <c r="K788" s="417" t="s">
        <v>2513</v>
      </c>
      <c r="L788" s="17" t="s">
        <v>2</v>
      </c>
      <c r="M788" s="108" t="s">
        <v>2369</v>
      </c>
      <c r="N788" s="230"/>
      <c r="O788" s="205"/>
    </row>
    <row r="789" spans="1:15" s="2" customFormat="1" x14ac:dyDescent="0.25">
      <c r="A789" s="87" t="s">
        <v>2800</v>
      </c>
      <c r="B789" s="237" t="s">
        <v>967</v>
      </c>
      <c r="C789" s="252" t="s">
        <v>966</v>
      </c>
      <c r="D789" s="17">
        <v>40.32</v>
      </c>
      <c r="E789" s="17">
        <v>22.58</v>
      </c>
      <c r="F789" s="118">
        <v>6351</v>
      </c>
      <c r="G789" s="17">
        <v>6438</v>
      </c>
      <c r="H789" s="112">
        <v>6264</v>
      </c>
      <c r="I789" s="97" t="s">
        <v>18</v>
      </c>
      <c r="J789" s="593" t="s">
        <v>69</v>
      </c>
      <c r="K789" s="417" t="s">
        <v>2513</v>
      </c>
      <c r="L789" s="594" t="s">
        <v>69</v>
      </c>
      <c r="M789" s="108" t="s">
        <v>2802</v>
      </c>
      <c r="N789" s="230"/>
      <c r="O789" s="205" t="s">
        <v>2820</v>
      </c>
    </row>
    <row r="790" spans="1:15" s="2" customFormat="1" x14ac:dyDescent="0.25">
      <c r="A790" s="87" t="s">
        <v>2800</v>
      </c>
      <c r="B790" s="237" t="s">
        <v>967</v>
      </c>
      <c r="C790" s="252" t="s">
        <v>966</v>
      </c>
      <c r="D790" s="17">
        <v>40.32</v>
      </c>
      <c r="E790" s="17">
        <v>22.58</v>
      </c>
      <c r="F790" s="118">
        <v>6351</v>
      </c>
      <c r="G790" s="17">
        <v>6438</v>
      </c>
      <c r="H790" s="112">
        <v>6264</v>
      </c>
      <c r="I790" s="97" t="s">
        <v>2817</v>
      </c>
      <c r="J790" s="593" t="s">
        <v>69</v>
      </c>
      <c r="K790" s="417" t="s">
        <v>2513</v>
      </c>
      <c r="L790" s="594" t="s">
        <v>69</v>
      </c>
      <c r="M790" s="108" t="s">
        <v>2803</v>
      </c>
      <c r="N790" s="230"/>
      <c r="O790" s="205" t="s">
        <v>2821</v>
      </c>
    </row>
    <row r="791" spans="1:15" s="2" customFormat="1" x14ac:dyDescent="0.25">
      <c r="A791" s="87" t="s">
        <v>2800</v>
      </c>
      <c r="B791" s="205" t="s">
        <v>2815</v>
      </c>
      <c r="C791" s="252" t="s">
        <v>966</v>
      </c>
      <c r="D791" s="17">
        <v>40.450000000000003</v>
      </c>
      <c r="E791" s="17">
        <v>21.72</v>
      </c>
      <c r="F791" s="118">
        <v>6333</v>
      </c>
      <c r="G791" s="17">
        <f>F791+56</f>
        <v>6389</v>
      </c>
      <c r="H791" s="112">
        <f>F791-56</f>
        <v>6277</v>
      </c>
      <c r="I791" s="97" t="s">
        <v>82</v>
      </c>
      <c r="J791" s="593" t="s">
        <v>69</v>
      </c>
      <c r="K791" s="417" t="s">
        <v>2513</v>
      </c>
      <c r="L791" s="594" t="s">
        <v>69</v>
      </c>
      <c r="M791" s="108" t="s">
        <v>2804</v>
      </c>
      <c r="N791" s="230"/>
      <c r="O791" s="205"/>
    </row>
    <row r="792" spans="1:15" s="2" customFormat="1" x14ac:dyDescent="0.25">
      <c r="A792" s="87" t="s">
        <v>2800</v>
      </c>
      <c r="B792" s="205" t="s">
        <v>2815</v>
      </c>
      <c r="C792" s="252" t="s">
        <v>966</v>
      </c>
      <c r="D792" s="17">
        <v>40.450000000000003</v>
      </c>
      <c r="E792" s="17">
        <v>21.72</v>
      </c>
      <c r="F792" s="118">
        <f>(F791+F793+F794)/3</f>
        <v>6110</v>
      </c>
      <c r="G792" s="27">
        <f>(G791+G793+G794)/3</f>
        <v>6147.333333333333</v>
      </c>
      <c r="H792" s="115">
        <f>(H791+H793+H794)/3</f>
        <v>6072.666666666667</v>
      </c>
      <c r="I792" s="97" t="s">
        <v>884</v>
      </c>
      <c r="J792" s="593" t="s">
        <v>69</v>
      </c>
      <c r="K792" s="417" t="s">
        <v>2513</v>
      </c>
      <c r="L792" s="594" t="s">
        <v>69</v>
      </c>
      <c r="M792" s="108" t="s">
        <v>2805</v>
      </c>
      <c r="N792" s="230"/>
      <c r="O792" s="205" t="s">
        <v>2823</v>
      </c>
    </row>
    <row r="793" spans="1:15" s="2" customFormat="1" x14ac:dyDescent="0.25">
      <c r="A793" s="87" t="s">
        <v>2800</v>
      </c>
      <c r="B793" s="205" t="s">
        <v>2815</v>
      </c>
      <c r="C793" s="252" t="s">
        <v>966</v>
      </c>
      <c r="D793" s="17">
        <v>40.450000000000003</v>
      </c>
      <c r="E793" s="17">
        <v>21.72</v>
      </c>
      <c r="F793" s="118">
        <v>5959</v>
      </c>
      <c r="G793" s="17">
        <f>F793+35</f>
        <v>5994</v>
      </c>
      <c r="H793" s="112">
        <f>F793-35</f>
        <v>5924</v>
      </c>
      <c r="I793" s="97" t="s">
        <v>2795</v>
      </c>
      <c r="J793" s="593" t="s">
        <v>69</v>
      </c>
      <c r="K793" s="417" t="s">
        <v>2513</v>
      </c>
      <c r="L793" s="594" t="s">
        <v>69</v>
      </c>
      <c r="M793" s="108" t="s">
        <v>2806</v>
      </c>
      <c r="N793" s="230"/>
      <c r="O793" s="205"/>
    </row>
    <row r="794" spans="1:15" s="2" customFormat="1" x14ac:dyDescent="0.25">
      <c r="A794" s="87" t="s">
        <v>2800</v>
      </c>
      <c r="B794" s="205" t="s">
        <v>2815</v>
      </c>
      <c r="C794" s="252" t="s">
        <v>966</v>
      </c>
      <c r="D794" s="17">
        <v>40.450000000000003</v>
      </c>
      <c r="E794" s="17">
        <v>21.72</v>
      </c>
      <c r="F794" s="118">
        <v>6038</v>
      </c>
      <c r="G794" s="17">
        <f>F794+21</f>
        <v>6059</v>
      </c>
      <c r="H794" s="112">
        <f>F794-21</f>
        <v>6017</v>
      </c>
      <c r="I794" s="97" t="s">
        <v>60</v>
      </c>
      <c r="J794" s="593" t="s">
        <v>69</v>
      </c>
      <c r="K794" s="417" t="s">
        <v>2513</v>
      </c>
      <c r="L794" s="594" t="s">
        <v>69</v>
      </c>
      <c r="M794" s="108" t="s">
        <v>2807</v>
      </c>
      <c r="N794" s="230"/>
      <c r="O794" s="205"/>
    </row>
    <row r="795" spans="1:15" s="2" customFormat="1" x14ac:dyDescent="0.25">
      <c r="A795" s="87" t="s">
        <v>2800</v>
      </c>
      <c r="B795" s="237" t="s">
        <v>2816</v>
      </c>
      <c r="C795" s="252" t="s">
        <v>966</v>
      </c>
      <c r="D795" s="17">
        <v>40.29</v>
      </c>
      <c r="E795" s="17">
        <v>21.66</v>
      </c>
      <c r="F795" s="118">
        <v>6164</v>
      </c>
      <c r="G795" s="17">
        <f>F795+51</f>
        <v>6215</v>
      </c>
      <c r="H795" s="112">
        <f>F795-51</f>
        <v>6113</v>
      </c>
      <c r="I795" s="97" t="s">
        <v>85</v>
      </c>
      <c r="J795" s="593" t="s">
        <v>69</v>
      </c>
      <c r="K795" s="417" t="s">
        <v>2513</v>
      </c>
      <c r="L795" s="594" t="s">
        <v>69</v>
      </c>
      <c r="M795" s="108" t="s">
        <v>2808</v>
      </c>
      <c r="N795" s="230"/>
      <c r="O795" s="205" t="s">
        <v>2824</v>
      </c>
    </row>
    <row r="796" spans="1:15" s="2" customFormat="1" ht="15.75" thickBot="1" x14ac:dyDescent="0.3">
      <c r="A796" s="87" t="s">
        <v>2800</v>
      </c>
      <c r="B796" s="237" t="s">
        <v>2816</v>
      </c>
      <c r="C796" s="252" t="s">
        <v>966</v>
      </c>
      <c r="D796" s="17">
        <v>40.29</v>
      </c>
      <c r="E796" s="17">
        <v>21.66</v>
      </c>
      <c r="F796" s="118">
        <v>6164</v>
      </c>
      <c r="G796" s="17">
        <f>F796+51</f>
        <v>6215</v>
      </c>
      <c r="H796" s="112">
        <f>F796-51</f>
        <v>6113</v>
      </c>
      <c r="I796" s="97" t="s">
        <v>2818</v>
      </c>
      <c r="J796" s="593" t="s">
        <v>69</v>
      </c>
      <c r="K796" s="417" t="s">
        <v>2513</v>
      </c>
      <c r="L796" s="594" t="s">
        <v>69</v>
      </c>
      <c r="M796" s="108" t="s">
        <v>2809</v>
      </c>
      <c r="N796" s="230"/>
      <c r="O796" s="205"/>
    </row>
    <row r="797" spans="1:15" s="2" customFormat="1" ht="15.75" thickBot="1" x14ac:dyDescent="0.3">
      <c r="A797" s="87" t="s">
        <v>2800</v>
      </c>
      <c r="B797" s="237" t="s">
        <v>2816</v>
      </c>
      <c r="C797" s="252" t="s">
        <v>966</v>
      </c>
      <c r="D797" s="17">
        <v>40.29</v>
      </c>
      <c r="E797" s="17">
        <v>21.66</v>
      </c>
      <c r="F797" s="118">
        <v>6164</v>
      </c>
      <c r="G797" s="17">
        <f>F797+51</f>
        <v>6215</v>
      </c>
      <c r="H797" s="112">
        <f>F797-51</f>
        <v>6113</v>
      </c>
      <c r="I797" s="174" t="s">
        <v>787</v>
      </c>
      <c r="J797" s="593" t="s">
        <v>69</v>
      </c>
      <c r="K797" s="417" t="s">
        <v>2513</v>
      </c>
      <c r="L797" s="594" t="s">
        <v>69</v>
      </c>
      <c r="M797" s="87" t="s">
        <v>2813</v>
      </c>
      <c r="N797" s="230"/>
      <c r="O797" s="205" t="s">
        <v>2825</v>
      </c>
    </row>
    <row r="798" spans="1:15" s="2" customFormat="1" ht="15.75" thickBot="1" x14ac:dyDescent="0.3">
      <c r="A798" s="87" t="s">
        <v>2800</v>
      </c>
      <c r="B798" s="237" t="s">
        <v>2816</v>
      </c>
      <c r="C798" s="252" t="s">
        <v>966</v>
      </c>
      <c r="D798" s="17">
        <v>40.29</v>
      </c>
      <c r="E798" s="17">
        <v>21.66</v>
      </c>
      <c r="F798" s="118">
        <v>6164</v>
      </c>
      <c r="G798" s="17">
        <f>F798+51</f>
        <v>6215</v>
      </c>
      <c r="H798" s="112">
        <f>F798-51</f>
        <v>6113</v>
      </c>
      <c r="I798" s="174" t="s">
        <v>2819</v>
      </c>
      <c r="J798" s="593" t="s">
        <v>69</v>
      </c>
      <c r="K798" s="417" t="s">
        <v>2513</v>
      </c>
      <c r="L798" s="594" t="s">
        <v>69</v>
      </c>
      <c r="M798" s="87" t="s">
        <v>2814</v>
      </c>
      <c r="N798" s="230"/>
      <c r="O798" s="205" t="s">
        <v>2826</v>
      </c>
    </row>
    <row r="799" spans="1:15" s="2" customFormat="1" ht="15.75" thickBot="1" x14ac:dyDescent="0.3">
      <c r="A799" s="87" t="s">
        <v>2800</v>
      </c>
      <c r="B799" s="205" t="s">
        <v>2366</v>
      </c>
      <c r="C799" s="252" t="s">
        <v>966</v>
      </c>
      <c r="D799" s="17">
        <v>40.587899999999998</v>
      </c>
      <c r="E799" s="17">
        <v>22.251200000000001</v>
      </c>
      <c r="F799" s="116">
        <f>(F787+F788)/2</f>
        <v>6191.75</v>
      </c>
      <c r="G799" s="27">
        <f>(G787+G788)/2</f>
        <v>6301</v>
      </c>
      <c r="H799" s="115">
        <f>(H787+H788)/2</f>
        <v>6082.5</v>
      </c>
      <c r="I799" s="174" t="s">
        <v>585</v>
      </c>
      <c r="J799" s="593" t="s">
        <v>69</v>
      </c>
      <c r="K799" s="417" t="s">
        <v>2513</v>
      </c>
      <c r="L799" s="594" t="s">
        <v>69</v>
      </c>
      <c r="M799" s="108" t="s">
        <v>2811</v>
      </c>
      <c r="N799" s="230"/>
      <c r="O799" s="205" t="s">
        <v>2827</v>
      </c>
    </row>
    <row r="800" spans="1:15" s="2" customFormat="1" x14ac:dyDescent="0.25">
      <c r="A800" s="87" t="s">
        <v>2800</v>
      </c>
      <c r="B800" s="205" t="s">
        <v>2366</v>
      </c>
      <c r="C800" s="252" t="s">
        <v>966</v>
      </c>
      <c r="D800" s="17">
        <v>40.587899999999998</v>
      </c>
      <c r="E800" s="17">
        <v>22.251200000000001</v>
      </c>
      <c r="F800" s="116">
        <f>(F787+F788)/2</f>
        <v>6191.75</v>
      </c>
      <c r="G800" s="27">
        <f>(G787+G788)/2</f>
        <v>6301</v>
      </c>
      <c r="H800" s="115">
        <f>(H787+H788)/2</f>
        <v>6082.5</v>
      </c>
      <c r="I800" s="97" t="s">
        <v>18</v>
      </c>
      <c r="J800" s="593" t="s">
        <v>69</v>
      </c>
      <c r="K800" s="417" t="s">
        <v>2513</v>
      </c>
      <c r="L800" s="594" t="s">
        <v>69</v>
      </c>
      <c r="M800" s="108" t="s">
        <v>2810</v>
      </c>
      <c r="N800" s="230"/>
      <c r="O800" s="205" t="s">
        <v>2828</v>
      </c>
    </row>
    <row r="801" spans="1:15" s="2" customFormat="1" x14ac:dyDescent="0.25">
      <c r="A801" s="87" t="s">
        <v>2800</v>
      </c>
      <c r="B801" s="205" t="s">
        <v>2366</v>
      </c>
      <c r="C801" s="252" t="s">
        <v>966</v>
      </c>
      <c r="D801" s="17">
        <v>40.587899999999998</v>
      </c>
      <c r="E801" s="17">
        <v>22.251200000000001</v>
      </c>
      <c r="F801" s="116">
        <f>(F787+F788)/2</f>
        <v>6191.75</v>
      </c>
      <c r="G801" s="27">
        <f>(G787+G788)/2</f>
        <v>6301</v>
      </c>
      <c r="H801" s="115">
        <f>(H787+H788)/2</f>
        <v>6082.5</v>
      </c>
      <c r="I801" s="97" t="s">
        <v>18</v>
      </c>
      <c r="J801" s="593" t="s">
        <v>69</v>
      </c>
      <c r="K801" s="417" t="s">
        <v>2513</v>
      </c>
      <c r="L801" s="594" t="s">
        <v>69</v>
      </c>
      <c r="M801" s="108" t="s">
        <v>2812</v>
      </c>
      <c r="N801" s="230"/>
      <c r="O801" s="205" t="s">
        <v>2829</v>
      </c>
    </row>
    <row r="802" spans="1:15" s="2" customFormat="1" x14ac:dyDescent="0.25">
      <c r="A802" s="674" t="s">
        <v>4280</v>
      </c>
      <c r="B802" s="675"/>
      <c r="C802" s="676"/>
      <c r="D802" s="687">
        <f>AVERAGE(D784:D801)</f>
        <v>40.299879629444433</v>
      </c>
      <c r="E802" s="687">
        <f>AVERAGE(E784:E801)</f>
        <v>22.013805555555557</v>
      </c>
      <c r="F802" s="688">
        <f>AVERAGE(F784:F801)</f>
        <v>6161.4861111111113</v>
      </c>
      <c r="G802" s="546"/>
      <c r="H802" s="569"/>
      <c r="I802" s="359"/>
      <c r="J802" s="281"/>
      <c r="K802" s="370"/>
      <c r="L802" s="29"/>
      <c r="M802" s="232"/>
      <c r="N802" s="354"/>
      <c r="O802" s="325"/>
    </row>
    <row r="803" spans="1:15" x14ac:dyDescent="0.25">
      <c r="B803" s="367"/>
      <c r="C803" s="368"/>
      <c r="D803" s="14"/>
      <c r="E803" s="14"/>
      <c r="F803" s="385"/>
      <c r="G803" s="12"/>
      <c r="H803" s="113"/>
      <c r="I803" s="281"/>
      <c r="J803" s="281"/>
      <c r="K803" s="370"/>
      <c r="L803" s="29"/>
      <c r="M803" s="232"/>
      <c r="N803" s="354"/>
      <c r="O803" s="325"/>
    </row>
    <row r="804" spans="1:15" x14ac:dyDescent="0.25">
      <c r="A804" s="665" t="s">
        <v>4281</v>
      </c>
      <c r="B804" s="367"/>
      <c r="C804" s="368"/>
      <c r="D804" s="14"/>
      <c r="E804" s="14"/>
      <c r="F804" s="385"/>
      <c r="G804" s="12"/>
      <c r="H804" s="113"/>
      <c r="I804" s="281"/>
      <c r="J804" s="281"/>
      <c r="K804" s="370"/>
      <c r="L804" s="29"/>
      <c r="M804" s="232"/>
      <c r="N804" s="354"/>
      <c r="O804" s="325"/>
    </row>
    <row r="805" spans="1:15" s="100" customFormat="1" ht="32.450000000000003" customHeight="1" thickBot="1" x14ac:dyDescent="0.3">
      <c r="A805" s="507" t="s">
        <v>4291</v>
      </c>
      <c r="B805" s="508" t="s">
        <v>1247</v>
      </c>
      <c r="C805" s="509" t="s">
        <v>0</v>
      </c>
      <c r="D805" s="510" t="s">
        <v>969</v>
      </c>
      <c r="E805" s="510" t="s">
        <v>2323</v>
      </c>
      <c r="F805" s="510" t="s">
        <v>398</v>
      </c>
      <c r="G805" s="511" t="s">
        <v>399</v>
      </c>
      <c r="H805" s="512" t="s">
        <v>400</v>
      </c>
      <c r="I805" s="101" t="s">
        <v>2322</v>
      </c>
      <c r="J805" s="589" t="s">
        <v>3927</v>
      </c>
      <c r="K805" s="590" t="s">
        <v>3250</v>
      </c>
      <c r="L805" s="591" t="s">
        <v>1</v>
      </c>
      <c r="M805" s="590" t="s">
        <v>3486</v>
      </c>
      <c r="N805" s="640" t="s">
        <v>3487</v>
      </c>
      <c r="O805" s="339" t="s">
        <v>2324</v>
      </c>
    </row>
    <row r="806" spans="1:15" s="2" customFormat="1" ht="15.75" thickBot="1" x14ac:dyDescent="0.3">
      <c r="A806" s="107" t="s">
        <v>386</v>
      </c>
      <c r="B806" s="208" t="s">
        <v>232</v>
      </c>
      <c r="C806" s="252" t="s">
        <v>233</v>
      </c>
      <c r="D806" s="41">
        <v>45.286360999999999</v>
      </c>
      <c r="E806" s="41">
        <v>18.798245000000001</v>
      </c>
      <c r="F806" s="118">
        <f>AVERAGE(G806:H806)</f>
        <v>5700</v>
      </c>
      <c r="G806" s="27">
        <v>6000</v>
      </c>
      <c r="H806" s="112">
        <v>5400</v>
      </c>
      <c r="I806" s="174" t="s">
        <v>6</v>
      </c>
      <c r="J806" s="40" t="s">
        <v>69</v>
      </c>
      <c r="K806" s="194" t="s">
        <v>163</v>
      </c>
      <c r="L806" s="17" t="s">
        <v>14</v>
      </c>
      <c r="M806" s="108" t="s">
        <v>244</v>
      </c>
      <c r="N806" s="239" t="s">
        <v>3439</v>
      </c>
      <c r="O806" s="205"/>
    </row>
    <row r="807" spans="1:15" s="45" customFormat="1" x14ac:dyDescent="0.25">
      <c r="A807" s="107" t="s">
        <v>386</v>
      </c>
      <c r="B807" s="208" t="s">
        <v>232</v>
      </c>
      <c r="C807" s="252" t="s">
        <v>233</v>
      </c>
      <c r="D807" s="41">
        <v>45.286360999999999</v>
      </c>
      <c r="E807" s="41">
        <v>18.798245000000001</v>
      </c>
      <c r="F807" s="118">
        <f>AVERAGE(G807:H807)</f>
        <v>5700</v>
      </c>
      <c r="G807" s="27">
        <v>6000</v>
      </c>
      <c r="H807" s="112">
        <v>5400</v>
      </c>
      <c r="I807" s="97" t="s">
        <v>38</v>
      </c>
      <c r="J807" s="40" t="s">
        <v>69</v>
      </c>
      <c r="K807" s="194" t="s">
        <v>163</v>
      </c>
      <c r="L807" s="17" t="s">
        <v>14</v>
      </c>
      <c r="M807" s="108" t="s">
        <v>241</v>
      </c>
      <c r="N807" s="239" t="s">
        <v>3440</v>
      </c>
      <c r="O807" s="205"/>
    </row>
    <row r="808" spans="1:15" s="45" customFormat="1" ht="15.75" thickBot="1" x14ac:dyDescent="0.3">
      <c r="A808" s="107" t="s">
        <v>386</v>
      </c>
      <c r="B808" s="208" t="s">
        <v>232</v>
      </c>
      <c r="C808" s="252" t="s">
        <v>233</v>
      </c>
      <c r="D808" s="41">
        <v>45.286360999999999</v>
      </c>
      <c r="E808" s="41">
        <v>18.798245000000001</v>
      </c>
      <c r="F808" s="242">
        <v>5600</v>
      </c>
      <c r="G808" s="241">
        <v>5650</v>
      </c>
      <c r="H808" s="241">
        <v>5550</v>
      </c>
      <c r="I808" s="97" t="s">
        <v>4</v>
      </c>
      <c r="J808" s="40" t="s">
        <v>69</v>
      </c>
      <c r="K808" s="194" t="s">
        <v>163</v>
      </c>
      <c r="L808" s="17" t="s">
        <v>2</v>
      </c>
      <c r="M808" s="108" t="s">
        <v>234</v>
      </c>
      <c r="N808" s="239" t="s">
        <v>3441</v>
      </c>
      <c r="O808" s="205" t="s">
        <v>3126</v>
      </c>
    </row>
    <row r="809" spans="1:15" s="45" customFormat="1" ht="15.75" thickBot="1" x14ac:dyDescent="0.3">
      <c r="A809" s="107" t="s">
        <v>386</v>
      </c>
      <c r="B809" s="208" t="s">
        <v>232</v>
      </c>
      <c r="C809" s="252" t="s">
        <v>233</v>
      </c>
      <c r="D809" s="41">
        <v>45.286360999999999</v>
      </c>
      <c r="E809" s="41">
        <v>18.798245000000001</v>
      </c>
      <c r="F809" s="242">
        <v>5600</v>
      </c>
      <c r="G809" s="241">
        <v>5650</v>
      </c>
      <c r="H809" s="241">
        <v>5550</v>
      </c>
      <c r="I809" s="174" t="s">
        <v>6</v>
      </c>
      <c r="J809" s="40" t="s">
        <v>69</v>
      </c>
      <c r="K809" s="194" t="s">
        <v>163</v>
      </c>
      <c r="L809" s="17" t="s">
        <v>14</v>
      </c>
      <c r="M809" s="108" t="s">
        <v>245</v>
      </c>
      <c r="N809" s="239" t="s">
        <v>3442</v>
      </c>
      <c r="O809" s="205" t="s">
        <v>3126</v>
      </c>
    </row>
    <row r="810" spans="1:15" s="45" customFormat="1" ht="15.75" thickBot="1" x14ac:dyDescent="0.3">
      <c r="A810" s="107" t="s">
        <v>386</v>
      </c>
      <c r="B810" s="208" t="s">
        <v>235</v>
      </c>
      <c r="C810" s="252" t="s">
        <v>233</v>
      </c>
      <c r="D810" s="41">
        <v>45.282738000000002</v>
      </c>
      <c r="E810" s="41">
        <v>18.794039000000001</v>
      </c>
      <c r="F810" s="242">
        <v>5600</v>
      </c>
      <c r="G810" s="241">
        <v>5650</v>
      </c>
      <c r="H810" s="241">
        <v>5550</v>
      </c>
      <c r="I810" s="97" t="s">
        <v>7</v>
      </c>
      <c r="J810" s="40" t="s">
        <v>69</v>
      </c>
      <c r="K810" s="194" t="s">
        <v>163</v>
      </c>
      <c r="L810" s="17" t="s">
        <v>69</v>
      </c>
      <c r="M810" s="108" t="s">
        <v>237</v>
      </c>
      <c r="N810" s="239" t="s">
        <v>3443</v>
      </c>
      <c r="O810" s="205" t="s">
        <v>3126</v>
      </c>
    </row>
    <row r="811" spans="1:15" s="45" customFormat="1" ht="15.75" thickBot="1" x14ac:dyDescent="0.3">
      <c r="A811" s="107" t="s">
        <v>386</v>
      </c>
      <c r="B811" s="208" t="s">
        <v>235</v>
      </c>
      <c r="C811" s="252" t="s">
        <v>233</v>
      </c>
      <c r="D811" s="41">
        <v>45.282738000000002</v>
      </c>
      <c r="E811" s="41">
        <v>18.794039000000001</v>
      </c>
      <c r="F811" s="242">
        <v>5600</v>
      </c>
      <c r="G811" s="241">
        <v>5650</v>
      </c>
      <c r="H811" s="241">
        <v>5550</v>
      </c>
      <c r="I811" s="174" t="s">
        <v>43</v>
      </c>
      <c r="J811" s="40" t="s">
        <v>69</v>
      </c>
      <c r="K811" s="194" t="s">
        <v>163</v>
      </c>
      <c r="L811" s="17" t="s">
        <v>2</v>
      </c>
      <c r="M811" s="108" t="s">
        <v>236</v>
      </c>
      <c r="N811" s="239" t="s">
        <v>3444</v>
      </c>
      <c r="O811" s="205" t="s">
        <v>3126</v>
      </c>
    </row>
    <row r="812" spans="1:15" s="45" customFormat="1" x14ac:dyDescent="0.25">
      <c r="A812" s="107" t="s">
        <v>386</v>
      </c>
      <c r="B812" s="208" t="s">
        <v>235</v>
      </c>
      <c r="C812" s="252" t="s">
        <v>233</v>
      </c>
      <c r="D812" s="41">
        <v>45.282738000000002</v>
      </c>
      <c r="E812" s="41">
        <v>18.794039000000001</v>
      </c>
      <c r="F812" s="242">
        <v>5600</v>
      </c>
      <c r="G812" s="241">
        <v>5650</v>
      </c>
      <c r="H812" s="241">
        <v>5550</v>
      </c>
      <c r="I812" s="97" t="s">
        <v>10</v>
      </c>
      <c r="J812" s="40" t="s">
        <v>69</v>
      </c>
      <c r="K812" s="194" t="s">
        <v>163</v>
      </c>
      <c r="L812" s="17" t="s">
        <v>2</v>
      </c>
      <c r="M812" s="108" t="s">
        <v>240</v>
      </c>
      <c r="N812" s="239" t="s">
        <v>3445</v>
      </c>
      <c r="O812" s="205" t="s">
        <v>3126</v>
      </c>
    </row>
    <row r="813" spans="1:15" s="45" customFormat="1" x14ac:dyDescent="0.25">
      <c r="A813" s="107" t="s">
        <v>386</v>
      </c>
      <c r="B813" s="208" t="s">
        <v>235</v>
      </c>
      <c r="C813" s="252" t="s">
        <v>233</v>
      </c>
      <c r="D813" s="41">
        <v>45.282738000000002</v>
      </c>
      <c r="E813" s="41">
        <v>18.794039000000001</v>
      </c>
      <c r="F813" s="242">
        <v>5600</v>
      </c>
      <c r="G813" s="241">
        <v>5650</v>
      </c>
      <c r="H813" s="241">
        <v>5550</v>
      </c>
      <c r="I813" s="97" t="s">
        <v>246</v>
      </c>
      <c r="J813" s="40" t="s">
        <v>69</v>
      </c>
      <c r="K813" s="194" t="s">
        <v>163</v>
      </c>
      <c r="L813" s="17" t="s">
        <v>14</v>
      </c>
      <c r="M813" s="108" t="s">
        <v>247</v>
      </c>
      <c r="N813" s="239" t="s">
        <v>3446</v>
      </c>
      <c r="O813" s="205" t="s">
        <v>3126</v>
      </c>
    </row>
    <row r="814" spans="1:15" s="2" customFormat="1" x14ac:dyDescent="0.25">
      <c r="A814" s="107" t="s">
        <v>386</v>
      </c>
      <c r="B814" s="208" t="s">
        <v>238</v>
      </c>
      <c r="C814" s="252" t="s">
        <v>233</v>
      </c>
      <c r="D814" s="41">
        <v>45.348073999999997</v>
      </c>
      <c r="E814" s="41">
        <v>18.999645999999998</v>
      </c>
      <c r="F814" s="242">
        <v>5600</v>
      </c>
      <c r="G814" s="241">
        <v>5650</v>
      </c>
      <c r="H814" s="241">
        <v>5550</v>
      </c>
      <c r="I814" s="97" t="s">
        <v>38</v>
      </c>
      <c r="J814" s="40" t="s">
        <v>69</v>
      </c>
      <c r="K814" s="194" t="s">
        <v>163</v>
      </c>
      <c r="L814" s="17" t="s">
        <v>14</v>
      </c>
      <c r="M814" s="108" t="s">
        <v>242</v>
      </c>
      <c r="N814" s="239" t="s">
        <v>3447</v>
      </c>
      <c r="O814" s="205" t="s">
        <v>3126</v>
      </c>
    </row>
    <row r="815" spans="1:15" s="2" customFormat="1" x14ac:dyDescent="0.25">
      <c r="A815" s="107" t="s">
        <v>386</v>
      </c>
      <c r="B815" s="208" t="s">
        <v>238</v>
      </c>
      <c r="C815" s="252" t="s">
        <v>233</v>
      </c>
      <c r="D815" s="41">
        <v>45.348073999999997</v>
      </c>
      <c r="E815" s="41">
        <v>18.999645999999998</v>
      </c>
      <c r="F815" s="242">
        <v>5600</v>
      </c>
      <c r="G815" s="241">
        <v>5650</v>
      </c>
      <c r="H815" s="241">
        <v>5550</v>
      </c>
      <c r="I815" s="97" t="s">
        <v>38</v>
      </c>
      <c r="J815" s="40" t="s">
        <v>69</v>
      </c>
      <c r="K815" s="194" t="s">
        <v>163</v>
      </c>
      <c r="L815" s="17" t="s">
        <v>69</v>
      </c>
      <c r="M815" s="108" t="s">
        <v>243</v>
      </c>
      <c r="N815" s="239" t="s">
        <v>3448</v>
      </c>
      <c r="O815" s="205" t="s">
        <v>3126</v>
      </c>
    </row>
    <row r="816" spans="1:15" s="45" customFormat="1" x14ac:dyDescent="0.25">
      <c r="A816" s="107" t="s">
        <v>386</v>
      </c>
      <c r="B816" s="208" t="s">
        <v>238</v>
      </c>
      <c r="C816" s="252" t="s">
        <v>233</v>
      </c>
      <c r="D816" s="41">
        <v>45.348073999999997</v>
      </c>
      <c r="E816" s="41">
        <v>18.999645999999998</v>
      </c>
      <c r="F816" s="242">
        <v>5600</v>
      </c>
      <c r="G816" s="241">
        <v>5650</v>
      </c>
      <c r="H816" s="241">
        <v>5550</v>
      </c>
      <c r="I816" s="97" t="s">
        <v>7</v>
      </c>
      <c r="J816" s="40" t="s">
        <v>69</v>
      </c>
      <c r="K816" s="194" t="s">
        <v>163</v>
      </c>
      <c r="L816" s="17" t="s">
        <v>69</v>
      </c>
      <c r="M816" s="108" t="s">
        <v>239</v>
      </c>
      <c r="N816" s="239" t="s">
        <v>3449</v>
      </c>
      <c r="O816" s="205" t="s">
        <v>3126</v>
      </c>
    </row>
    <row r="817" spans="1:16" s="45" customFormat="1" x14ac:dyDescent="0.25">
      <c r="A817" s="107" t="s">
        <v>4237</v>
      </c>
      <c r="B817" s="238" t="s">
        <v>546</v>
      </c>
      <c r="C817" s="252" t="s">
        <v>233</v>
      </c>
      <c r="D817" s="41">
        <v>45.76</v>
      </c>
      <c r="E817" s="41">
        <v>18.57</v>
      </c>
      <c r="F817" s="116">
        <f t="shared" ref="F817:F822" si="29">AVERAGE(G817:H817)</f>
        <v>5748</v>
      </c>
      <c r="G817" s="27">
        <v>5837</v>
      </c>
      <c r="H817" s="112">
        <v>5659</v>
      </c>
      <c r="I817" s="97" t="s">
        <v>314</v>
      </c>
      <c r="J817" s="40" t="s">
        <v>547</v>
      </c>
      <c r="K817" s="194" t="s">
        <v>163</v>
      </c>
      <c r="L817" s="17" t="s">
        <v>14</v>
      </c>
      <c r="M817" s="232" t="s">
        <v>549</v>
      </c>
      <c r="N817" s="239" t="s">
        <v>3658</v>
      </c>
      <c r="O817" s="208" t="s">
        <v>548</v>
      </c>
    </row>
    <row r="818" spans="1:16" s="45" customFormat="1" x14ac:dyDescent="0.25">
      <c r="A818" s="107" t="s">
        <v>545</v>
      </c>
      <c r="B818" s="238" t="s">
        <v>550</v>
      </c>
      <c r="C818" s="252" t="s">
        <v>233</v>
      </c>
      <c r="D818" s="41">
        <v>44.82</v>
      </c>
      <c r="E818" s="41">
        <v>13.64</v>
      </c>
      <c r="F818" s="116">
        <f t="shared" si="29"/>
        <v>5620.5</v>
      </c>
      <c r="G818" s="27">
        <v>5670</v>
      </c>
      <c r="H818" s="112">
        <v>5571</v>
      </c>
      <c r="I818" s="97" t="s">
        <v>551</v>
      </c>
      <c r="J818" s="40" t="s">
        <v>69</v>
      </c>
      <c r="K818" s="194" t="s">
        <v>719</v>
      </c>
      <c r="L818" s="17" t="s">
        <v>2</v>
      </c>
      <c r="M818" s="108" t="s">
        <v>553</v>
      </c>
      <c r="N818" s="230" t="s">
        <v>554</v>
      </c>
      <c r="O818" s="205"/>
    </row>
    <row r="819" spans="1:16" s="45" customFormat="1" x14ac:dyDescent="0.25">
      <c r="A819" s="107" t="s">
        <v>545</v>
      </c>
      <c r="B819" s="238" t="s">
        <v>550</v>
      </c>
      <c r="C819" s="252" t="s">
        <v>233</v>
      </c>
      <c r="D819" s="41">
        <v>44.82</v>
      </c>
      <c r="E819" s="41">
        <v>13.64</v>
      </c>
      <c r="F819" s="116">
        <f t="shared" si="29"/>
        <v>5600.5</v>
      </c>
      <c r="G819" s="27">
        <v>5641</v>
      </c>
      <c r="H819" s="112">
        <v>5560</v>
      </c>
      <c r="I819" s="97" t="s">
        <v>555</v>
      </c>
      <c r="J819" s="40" t="s">
        <v>133</v>
      </c>
      <c r="K819" s="194" t="s">
        <v>719</v>
      </c>
      <c r="L819" s="17" t="s">
        <v>14</v>
      </c>
      <c r="M819" s="108" t="s">
        <v>556</v>
      </c>
      <c r="N819" s="230" t="s">
        <v>557</v>
      </c>
      <c r="O819" s="205"/>
    </row>
    <row r="820" spans="1:16" s="45" customFormat="1" ht="15.75" thickBot="1" x14ac:dyDescent="0.3">
      <c r="A820" s="107" t="s">
        <v>545</v>
      </c>
      <c r="B820" s="238" t="s">
        <v>558</v>
      </c>
      <c r="C820" s="252" t="s">
        <v>233</v>
      </c>
      <c r="D820" s="41">
        <v>43.59</v>
      </c>
      <c r="E820" s="41">
        <v>16.649999999999999</v>
      </c>
      <c r="F820" s="116">
        <f t="shared" si="29"/>
        <v>5863.5</v>
      </c>
      <c r="G820" s="27">
        <v>5976</v>
      </c>
      <c r="H820" s="112">
        <v>5751</v>
      </c>
      <c r="I820" s="97" t="s">
        <v>559</v>
      </c>
      <c r="J820" s="40" t="s">
        <v>69</v>
      </c>
      <c r="K820" s="194" t="s">
        <v>552</v>
      </c>
      <c r="L820" s="17" t="s">
        <v>2</v>
      </c>
      <c r="M820" s="108" t="s">
        <v>560</v>
      </c>
      <c r="N820" s="230" t="s">
        <v>3545</v>
      </c>
      <c r="O820" s="205" t="s">
        <v>3546</v>
      </c>
    </row>
    <row r="821" spans="1:16" s="45" customFormat="1" ht="15.75" thickBot="1" x14ac:dyDescent="0.3">
      <c r="A821" s="107" t="s">
        <v>545</v>
      </c>
      <c r="B821" s="238" t="s">
        <v>558</v>
      </c>
      <c r="C821" s="252" t="s">
        <v>233</v>
      </c>
      <c r="D821" s="41">
        <v>43.59</v>
      </c>
      <c r="E821" s="41">
        <v>16.649999999999999</v>
      </c>
      <c r="F821" s="116">
        <f t="shared" si="29"/>
        <v>5886</v>
      </c>
      <c r="G821" s="27">
        <v>5986</v>
      </c>
      <c r="H821" s="112">
        <v>5786</v>
      </c>
      <c r="I821" s="174" t="s">
        <v>48</v>
      </c>
      <c r="J821" s="40" t="s">
        <v>147</v>
      </c>
      <c r="K821" s="194" t="s">
        <v>552</v>
      </c>
      <c r="L821" s="17" t="s">
        <v>14</v>
      </c>
      <c r="M821" s="108" t="s">
        <v>561</v>
      </c>
      <c r="N821" s="230" t="s">
        <v>3547</v>
      </c>
      <c r="O821" s="205" t="s">
        <v>3548</v>
      </c>
    </row>
    <row r="822" spans="1:16" s="45" customFormat="1" x14ac:dyDescent="0.25">
      <c r="A822" s="107" t="s">
        <v>545</v>
      </c>
      <c r="B822" s="238" t="s">
        <v>558</v>
      </c>
      <c r="C822" s="252" t="s">
        <v>233</v>
      </c>
      <c r="D822" s="41">
        <v>43.59</v>
      </c>
      <c r="E822" s="41">
        <v>16.649999999999999</v>
      </c>
      <c r="F822" s="116">
        <f t="shared" si="29"/>
        <v>5909.5</v>
      </c>
      <c r="G822" s="27">
        <v>6005</v>
      </c>
      <c r="H822" s="112">
        <v>5814</v>
      </c>
      <c r="I822" s="97" t="s">
        <v>102</v>
      </c>
      <c r="J822" s="40" t="s">
        <v>562</v>
      </c>
      <c r="K822" s="194" t="s">
        <v>552</v>
      </c>
      <c r="L822" s="17" t="s">
        <v>14</v>
      </c>
      <c r="M822" s="108" t="s">
        <v>563</v>
      </c>
      <c r="N822" s="230" t="s">
        <v>3549</v>
      </c>
      <c r="O822" s="205" t="s">
        <v>3550</v>
      </c>
    </row>
    <row r="823" spans="1:16" s="45" customFormat="1" ht="15.75" x14ac:dyDescent="0.25">
      <c r="A823" s="107" t="s">
        <v>2871</v>
      </c>
      <c r="B823" s="208" t="s">
        <v>2872</v>
      </c>
      <c r="C823" s="252" t="s">
        <v>233</v>
      </c>
      <c r="D823" s="90">
        <v>45.338766999999997</v>
      </c>
      <c r="E823" s="90">
        <v>18.698861000000001</v>
      </c>
      <c r="F823" s="534">
        <v>5749</v>
      </c>
      <c r="G823" s="321">
        <v>5839</v>
      </c>
      <c r="H823" s="321">
        <v>5659</v>
      </c>
      <c r="I823" s="187" t="s">
        <v>314</v>
      </c>
      <c r="J823" s="40" t="s">
        <v>547</v>
      </c>
      <c r="K823" s="194" t="s">
        <v>163</v>
      </c>
      <c r="L823" s="17" t="s">
        <v>14</v>
      </c>
      <c r="M823" s="597" t="s">
        <v>2873</v>
      </c>
      <c r="N823" s="209" t="s">
        <v>2874</v>
      </c>
      <c r="O823" s="205" t="s">
        <v>3336</v>
      </c>
    </row>
    <row r="824" spans="1:16" s="2" customFormat="1" x14ac:dyDescent="0.25">
      <c r="A824" s="87" t="s">
        <v>4127</v>
      </c>
      <c r="B824" s="515" t="s">
        <v>4151</v>
      </c>
      <c r="C824" s="252" t="s">
        <v>233</v>
      </c>
      <c r="D824" s="518">
        <v>45.300857000000001</v>
      </c>
      <c r="E824" s="518">
        <v>18.779447000000001</v>
      </c>
      <c r="F824" s="540">
        <f t="shared" ref="F824:F826" si="30">(G824+H824)/2</f>
        <v>5130.5</v>
      </c>
      <c r="G824" s="539">
        <v>5216</v>
      </c>
      <c r="H824" s="539">
        <v>5045</v>
      </c>
      <c r="I824" s="319" t="s">
        <v>730</v>
      </c>
      <c r="J824" s="344" t="s">
        <v>69</v>
      </c>
      <c r="K824" s="342" t="s">
        <v>4153</v>
      </c>
      <c r="L824" s="17" t="s">
        <v>2</v>
      </c>
      <c r="M824" s="342" t="s">
        <v>4148</v>
      </c>
      <c r="N824" s="209"/>
      <c r="O824" s="205"/>
      <c r="P824" s="344"/>
    </row>
    <row r="825" spans="1:16" s="2" customFormat="1" x14ac:dyDescent="0.25">
      <c r="A825" s="87" t="s">
        <v>4127</v>
      </c>
      <c r="B825" s="515" t="s">
        <v>4151</v>
      </c>
      <c r="C825" s="252" t="s">
        <v>233</v>
      </c>
      <c r="D825" s="518">
        <v>45.300857000000001</v>
      </c>
      <c r="E825" s="518">
        <v>18.779447000000001</v>
      </c>
      <c r="F825" s="540">
        <f t="shared" si="30"/>
        <v>4925</v>
      </c>
      <c r="G825" s="539">
        <v>5100</v>
      </c>
      <c r="H825" s="539">
        <v>4750</v>
      </c>
      <c r="I825" s="319" t="s">
        <v>4152</v>
      </c>
      <c r="J825" s="344" t="s">
        <v>147</v>
      </c>
      <c r="K825" s="342" t="s">
        <v>4153</v>
      </c>
      <c r="L825" s="17" t="s">
        <v>14</v>
      </c>
      <c r="M825" s="342" t="s">
        <v>4149</v>
      </c>
      <c r="N825" s="209"/>
      <c r="O825" s="205"/>
      <c r="P825" s="344"/>
    </row>
    <row r="826" spans="1:16" s="2" customFormat="1" x14ac:dyDescent="0.25">
      <c r="A826" s="87" t="s">
        <v>4158</v>
      </c>
      <c r="B826" s="515" t="s">
        <v>4151</v>
      </c>
      <c r="C826" s="252" t="s">
        <v>233</v>
      </c>
      <c r="D826" s="518">
        <v>45.300857000000001</v>
      </c>
      <c r="E826" s="518">
        <v>18.779447000000001</v>
      </c>
      <c r="F826" s="540">
        <f t="shared" si="30"/>
        <v>4925</v>
      </c>
      <c r="G826" s="539">
        <v>5100</v>
      </c>
      <c r="H826" s="539">
        <v>4750</v>
      </c>
      <c r="I826" s="319" t="s">
        <v>730</v>
      </c>
      <c r="J826" s="344" t="s">
        <v>69</v>
      </c>
      <c r="K826" s="342" t="s">
        <v>4153</v>
      </c>
      <c r="L826" s="17" t="s">
        <v>2</v>
      </c>
      <c r="M826" s="342" t="s">
        <v>4150</v>
      </c>
      <c r="N826" s="209"/>
      <c r="O826" s="205"/>
      <c r="P826" s="344"/>
    </row>
    <row r="827" spans="1:16" s="2" customFormat="1" x14ac:dyDescent="0.25">
      <c r="A827" s="665" t="s">
        <v>4281</v>
      </c>
      <c r="B827" s="672"/>
      <c r="C827" s="673"/>
      <c r="D827" s="684">
        <f>AVERAGE(D806:D826)</f>
        <v>45.034855047619047</v>
      </c>
      <c r="E827" s="684">
        <f>AVERAGE(E806:E826)</f>
        <v>18.009775047619044</v>
      </c>
      <c r="F827" s="685">
        <f>AVERAGE(F806:F826)</f>
        <v>5578.9285714285716</v>
      </c>
      <c r="G827" s="29"/>
      <c r="H827" s="113"/>
      <c r="I827" s="358"/>
      <c r="J827" s="281"/>
      <c r="K827" s="370"/>
      <c r="L827" s="29"/>
      <c r="M827" s="232"/>
      <c r="N827" s="354"/>
      <c r="O827" s="61"/>
    </row>
    <row r="828" spans="1:16" x14ac:dyDescent="0.25">
      <c r="A828" s="107" t="s">
        <v>4238</v>
      </c>
      <c r="D828" s="17"/>
      <c r="E828" s="17"/>
      <c r="K828" s="108"/>
      <c r="N828" s="354"/>
      <c r="O828" s="61"/>
    </row>
    <row r="829" spans="1:16" x14ac:dyDescent="0.25">
      <c r="A829" s="107" t="s">
        <v>4207</v>
      </c>
      <c r="B829" s="367"/>
      <c r="C829" s="368"/>
      <c r="D829" s="29"/>
      <c r="E829" s="29"/>
      <c r="F829" s="570"/>
      <c r="G829" s="12"/>
      <c r="H829" s="113"/>
      <c r="I829" s="281"/>
      <c r="J829" s="281"/>
      <c r="K829" s="232"/>
      <c r="L829" s="29"/>
      <c r="M829" s="232"/>
      <c r="N829" s="354"/>
      <c r="O829" s="61"/>
    </row>
    <row r="830" spans="1:16" s="2" customFormat="1" x14ac:dyDescent="0.25">
      <c r="A830" s="87"/>
      <c r="B830" s="342"/>
      <c r="C830" s="368"/>
      <c r="D830" s="14"/>
      <c r="E830" s="14"/>
      <c r="F830" s="386"/>
      <c r="G830" s="387"/>
      <c r="H830" s="387"/>
      <c r="I830" s="344"/>
      <c r="J830" s="344"/>
      <c r="K830" s="342"/>
      <c r="L830" s="29"/>
      <c r="M830" s="342"/>
      <c r="N830" s="388"/>
      <c r="O830" s="325"/>
      <c r="P830" s="344"/>
    </row>
    <row r="831" spans="1:16" s="2" customFormat="1" x14ac:dyDescent="0.25">
      <c r="A831" s="671" t="s">
        <v>4279</v>
      </c>
      <c r="B831" s="342"/>
      <c r="C831" s="368"/>
      <c r="D831" s="14"/>
      <c r="E831" s="14"/>
      <c r="F831" s="386"/>
      <c r="G831" s="387"/>
      <c r="H831" s="387"/>
      <c r="I831" s="344"/>
      <c r="J831" s="344"/>
      <c r="K831" s="342"/>
      <c r="L831" s="29"/>
      <c r="M831" s="342"/>
      <c r="N831" s="388"/>
      <c r="O831" s="325"/>
      <c r="P831" s="344"/>
    </row>
    <row r="832" spans="1:16" s="100" customFormat="1" ht="32.450000000000003" customHeight="1" thickBot="1" x14ac:dyDescent="0.3">
      <c r="A832" s="507" t="s">
        <v>4291</v>
      </c>
      <c r="B832" s="508" t="s">
        <v>1247</v>
      </c>
      <c r="C832" s="519" t="s">
        <v>0</v>
      </c>
      <c r="D832" s="510" t="s">
        <v>969</v>
      </c>
      <c r="E832" s="510" t="s">
        <v>2323</v>
      </c>
      <c r="F832" s="510" t="s">
        <v>398</v>
      </c>
      <c r="G832" s="511" t="s">
        <v>399</v>
      </c>
      <c r="H832" s="512" t="s">
        <v>400</v>
      </c>
      <c r="I832" s="101" t="s">
        <v>2322</v>
      </c>
      <c r="J832" s="589" t="s">
        <v>3927</v>
      </c>
      <c r="K832" s="590" t="s">
        <v>3250</v>
      </c>
      <c r="L832" s="591" t="s">
        <v>1</v>
      </c>
      <c r="M832" s="590" t="s">
        <v>3486</v>
      </c>
      <c r="N832" s="640" t="s">
        <v>3487</v>
      </c>
      <c r="O832" s="339" t="s">
        <v>2324</v>
      </c>
    </row>
    <row r="833" spans="1:15" ht="15.75" thickBot="1" x14ac:dyDescent="0.3">
      <c r="A833" s="87" t="s">
        <v>842</v>
      </c>
      <c r="B833" s="238" t="s">
        <v>819</v>
      </c>
      <c r="C833" s="252" t="s">
        <v>820</v>
      </c>
      <c r="D833" s="41">
        <v>41.96</v>
      </c>
      <c r="E833" s="41">
        <v>13.54</v>
      </c>
      <c r="F833" s="116">
        <f t="shared" ref="F833:F842" si="31">AVERAGE(G833:H833)</f>
        <v>6034</v>
      </c>
      <c r="G833" s="27">
        <v>6066</v>
      </c>
      <c r="H833" s="115">
        <v>6002</v>
      </c>
      <c r="I833" s="174" t="s">
        <v>126</v>
      </c>
      <c r="J833" s="40" t="s">
        <v>69</v>
      </c>
      <c r="K833" s="108" t="s">
        <v>830</v>
      </c>
      <c r="L833" s="17" t="s">
        <v>2</v>
      </c>
      <c r="M833" s="108" t="s">
        <v>821</v>
      </c>
      <c r="N833" s="230" t="s">
        <v>69</v>
      </c>
      <c r="O833" s="205" t="s">
        <v>3863</v>
      </c>
    </row>
    <row r="834" spans="1:15" ht="15.75" thickBot="1" x14ac:dyDescent="0.3">
      <c r="A834" s="87" t="s">
        <v>842</v>
      </c>
      <c r="B834" s="238" t="s">
        <v>819</v>
      </c>
      <c r="C834" s="252" t="s">
        <v>820</v>
      </c>
      <c r="D834" s="41">
        <v>41.96</v>
      </c>
      <c r="E834" s="41">
        <v>13.54</v>
      </c>
      <c r="F834" s="116">
        <f t="shared" si="31"/>
        <v>5779.5</v>
      </c>
      <c r="G834" s="27">
        <v>5836</v>
      </c>
      <c r="H834" s="115">
        <v>5723</v>
      </c>
      <c r="I834" s="97" t="s">
        <v>128</v>
      </c>
      <c r="J834" s="40" t="s">
        <v>69</v>
      </c>
      <c r="K834" s="108" t="s">
        <v>830</v>
      </c>
      <c r="L834" s="17" t="s">
        <v>2</v>
      </c>
      <c r="M834" s="108" t="s">
        <v>718</v>
      </c>
      <c r="N834" s="230" t="s">
        <v>69</v>
      </c>
      <c r="O834" s="205" t="s">
        <v>3863</v>
      </c>
    </row>
    <row r="835" spans="1:15" ht="15.75" thickBot="1" x14ac:dyDescent="0.3">
      <c r="A835" s="87" t="s">
        <v>842</v>
      </c>
      <c r="B835" s="238" t="s">
        <v>819</v>
      </c>
      <c r="C835" s="252" t="s">
        <v>820</v>
      </c>
      <c r="D835" s="41">
        <v>41.96</v>
      </c>
      <c r="E835" s="41">
        <v>13.54</v>
      </c>
      <c r="F835" s="116">
        <f t="shared" si="31"/>
        <v>5773.5</v>
      </c>
      <c r="G835" s="27">
        <v>5832</v>
      </c>
      <c r="H835" s="115">
        <v>5715</v>
      </c>
      <c r="I835" s="174" t="s">
        <v>822</v>
      </c>
      <c r="J835" s="40" t="s">
        <v>69</v>
      </c>
      <c r="K835" s="108" t="s">
        <v>830</v>
      </c>
      <c r="L835" s="17" t="s">
        <v>2</v>
      </c>
      <c r="M835" s="108" t="s">
        <v>823</v>
      </c>
      <c r="N835" s="230" t="s">
        <v>69</v>
      </c>
      <c r="O835" s="205" t="s">
        <v>3863</v>
      </c>
    </row>
    <row r="836" spans="1:15" ht="15.75" thickBot="1" x14ac:dyDescent="0.3">
      <c r="A836" s="87" t="s">
        <v>842</v>
      </c>
      <c r="B836" s="238" t="s">
        <v>819</v>
      </c>
      <c r="C836" s="252" t="s">
        <v>820</v>
      </c>
      <c r="D836" s="41">
        <v>41.96</v>
      </c>
      <c r="E836" s="41">
        <v>13.54</v>
      </c>
      <c r="F836" s="116">
        <f t="shared" si="31"/>
        <v>5679</v>
      </c>
      <c r="G836" s="27">
        <v>5717</v>
      </c>
      <c r="H836" s="115">
        <v>5641</v>
      </c>
      <c r="I836" s="97" t="s">
        <v>824</v>
      </c>
      <c r="J836" s="40" t="s">
        <v>69</v>
      </c>
      <c r="K836" s="108" t="s">
        <v>830</v>
      </c>
      <c r="L836" s="17" t="s">
        <v>2</v>
      </c>
      <c r="M836" s="108" t="s">
        <v>825</v>
      </c>
      <c r="N836" s="230" t="s">
        <v>69</v>
      </c>
      <c r="O836" s="205" t="s">
        <v>3863</v>
      </c>
    </row>
    <row r="837" spans="1:15" ht="15.75" thickBot="1" x14ac:dyDescent="0.3">
      <c r="A837" s="87" t="s">
        <v>842</v>
      </c>
      <c r="B837" s="238" t="s">
        <v>819</v>
      </c>
      <c r="C837" s="252" t="s">
        <v>820</v>
      </c>
      <c r="D837" s="41">
        <v>41.96</v>
      </c>
      <c r="E837" s="41">
        <v>13.54</v>
      </c>
      <c r="F837" s="116">
        <f t="shared" si="31"/>
        <v>5546</v>
      </c>
      <c r="G837" s="27">
        <v>5607</v>
      </c>
      <c r="H837" s="115">
        <v>5485</v>
      </c>
      <c r="I837" s="174" t="s">
        <v>669</v>
      </c>
      <c r="J837" s="40" t="s">
        <v>826</v>
      </c>
      <c r="K837" s="108" t="s">
        <v>830</v>
      </c>
      <c r="L837" s="17" t="s">
        <v>14</v>
      </c>
      <c r="M837" s="108" t="s">
        <v>827</v>
      </c>
      <c r="N837" s="230" t="s">
        <v>69</v>
      </c>
      <c r="O837" s="205" t="s">
        <v>3863</v>
      </c>
    </row>
    <row r="838" spans="1:15" ht="15.75" thickBot="1" x14ac:dyDescent="0.3">
      <c r="A838" s="87" t="s">
        <v>842</v>
      </c>
      <c r="B838" s="238" t="s">
        <v>819</v>
      </c>
      <c r="C838" s="252" t="s">
        <v>820</v>
      </c>
      <c r="D838" s="41">
        <v>41.96</v>
      </c>
      <c r="E838" s="41">
        <v>13.54</v>
      </c>
      <c r="F838" s="116">
        <f t="shared" si="31"/>
        <v>5209.5</v>
      </c>
      <c r="G838" s="27">
        <v>5242</v>
      </c>
      <c r="H838" s="115">
        <v>5177</v>
      </c>
      <c r="I838" s="174" t="s">
        <v>787</v>
      </c>
      <c r="J838" s="40" t="s">
        <v>840</v>
      </c>
      <c r="K838" s="108" t="s">
        <v>830</v>
      </c>
      <c r="L838" s="17" t="s">
        <v>14</v>
      </c>
      <c r="M838" s="108" t="s">
        <v>841</v>
      </c>
      <c r="N838" s="230" t="s">
        <v>69</v>
      </c>
      <c r="O838" s="205" t="s">
        <v>3863</v>
      </c>
    </row>
    <row r="839" spans="1:15" x14ac:dyDescent="0.25">
      <c r="A839" s="87" t="s">
        <v>842</v>
      </c>
      <c r="B839" s="208" t="s">
        <v>828</v>
      </c>
      <c r="C839" s="252" t="s">
        <v>820</v>
      </c>
      <c r="D839" s="41">
        <v>43.722396099999997</v>
      </c>
      <c r="E839" s="41">
        <v>13.033897100000001</v>
      </c>
      <c r="F839" s="116">
        <f t="shared" si="31"/>
        <v>5348.5</v>
      </c>
      <c r="G839" s="27">
        <v>5465</v>
      </c>
      <c r="H839" s="115">
        <v>5232</v>
      </c>
      <c r="I839" s="97" t="s">
        <v>829</v>
      </c>
      <c r="J839" s="40" t="s">
        <v>69</v>
      </c>
      <c r="K839" s="108" t="s">
        <v>830</v>
      </c>
      <c r="L839" s="17" t="s">
        <v>2</v>
      </c>
      <c r="M839" s="108" t="s">
        <v>831</v>
      </c>
      <c r="N839" s="230" t="s">
        <v>69</v>
      </c>
      <c r="O839" s="205" t="s">
        <v>3863</v>
      </c>
    </row>
    <row r="840" spans="1:15" x14ac:dyDescent="0.25">
      <c r="A840" s="87" t="s">
        <v>842</v>
      </c>
      <c r="B840" s="208" t="s">
        <v>828</v>
      </c>
      <c r="C840" s="252" t="s">
        <v>820</v>
      </c>
      <c r="D840" s="41">
        <v>43.722396099999997</v>
      </c>
      <c r="E840" s="41">
        <v>13.033897100000001</v>
      </c>
      <c r="F840" s="116">
        <f t="shared" si="31"/>
        <v>5283</v>
      </c>
      <c r="G840" s="27">
        <v>5345</v>
      </c>
      <c r="H840" s="115">
        <v>5221</v>
      </c>
      <c r="I840" s="97" t="s">
        <v>832</v>
      </c>
      <c r="J840" s="40" t="s">
        <v>833</v>
      </c>
      <c r="K840" s="108" t="s">
        <v>830</v>
      </c>
      <c r="L840" s="17" t="s">
        <v>14</v>
      </c>
      <c r="M840" s="108" t="s">
        <v>834</v>
      </c>
      <c r="N840" s="230" t="s">
        <v>69</v>
      </c>
      <c r="O840" s="205" t="s">
        <v>3863</v>
      </c>
    </row>
    <row r="841" spans="1:15" x14ac:dyDescent="0.25">
      <c r="A841" s="87" t="s">
        <v>842</v>
      </c>
      <c r="B841" s="208" t="s">
        <v>828</v>
      </c>
      <c r="C841" s="252" t="s">
        <v>820</v>
      </c>
      <c r="D841" s="41">
        <v>43.722396099999997</v>
      </c>
      <c r="E841" s="41">
        <v>13.033897100000001</v>
      </c>
      <c r="F841" s="116">
        <f t="shared" si="31"/>
        <v>5273.5</v>
      </c>
      <c r="G841" s="27">
        <v>5324</v>
      </c>
      <c r="H841" s="115">
        <v>5223</v>
      </c>
      <c r="I841" s="97" t="s">
        <v>835</v>
      </c>
      <c r="J841" s="40" t="s">
        <v>836</v>
      </c>
      <c r="K841" s="108" t="s">
        <v>830</v>
      </c>
      <c r="L841" s="17" t="s">
        <v>14</v>
      </c>
      <c r="M841" s="108" t="s">
        <v>837</v>
      </c>
      <c r="N841" s="230" t="s">
        <v>69</v>
      </c>
      <c r="O841" s="205" t="s">
        <v>3863</v>
      </c>
    </row>
    <row r="842" spans="1:15" x14ac:dyDescent="0.25">
      <c r="A842" s="87" t="s">
        <v>842</v>
      </c>
      <c r="B842" s="208" t="s">
        <v>828</v>
      </c>
      <c r="C842" s="252" t="s">
        <v>820</v>
      </c>
      <c r="D842" s="41">
        <v>43.722396099999997</v>
      </c>
      <c r="E842" s="41">
        <v>13.033897100000001</v>
      </c>
      <c r="F842" s="116">
        <f t="shared" si="31"/>
        <v>5257.5</v>
      </c>
      <c r="G842" s="27">
        <v>5301</v>
      </c>
      <c r="H842" s="115">
        <v>5214</v>
      </c>
      <c r="I842" s="97" t="s">
        <v>838</v>
      </c>
      <c r="J842" s="40" t="s">
        <v>69</v>
      </c>
      <c r="K842" s="108" t="s">
        <v>830</v>
      </c>
      <c r="L842" s="17" t="s">
        <v>2</v>
      </c>
      <c r="M842" s="108" t="s">
        <v>839</v>
      </c>
      <c r="N842" s="230" t="s">
        <v>69</v>
      </c>
      <c r="O842" s="205" t="s">
        <v>3863</v>
      </c>
    </row>
    <row r="843" spans="1:15" ht="15.75" thickBot="1" x14ac:dyDescent="0.3">
      <c r="A843" s="87" t="s">
        <v>3792</v>
      </c>
      <c r="B843" s="208" t="s">
        <v>3794</v>
      </c>
      <c r="C843" s="252" t="s">
        <v>820</v>
      </c>
      <c r="D843" s="571">
        <v>37.723999999999997</v>
      </c>
      <c r="E843" s="571">
        <v>12.916</v>
      </c>
      <c r="F843" s="572">
        <v>4867</v>
      </c>
      <c r="G843" s="27">
        <v>4946</v>
      </c>
      <c r="H843" s="115">
        <v>4787</v>
      </c>
      <c r="I843" s="249" t="s">
        <v>3801</v>
      </c>
      <c r="J843" s="40" t="s">
        <v>69</v>
      </c>
      <c r="K843" s="621" t="s">
        <v>3796</v>
      </c>
      <c r="L843" s="17" t="s">
        <v>2</v>
      </c>
      <c r="M843" s="621" t="s">
        <v>3788</v>
      </c>
      <c r="N843" s="652" t="s">
        <v>3797</v>
      </c>
      <c r="O843" s="205"/>
    </row>
    <row r="844" spans="1:15" ht="15.75" thickBot="1" x14ac:dyDescent="0.3">
      <c r="A844" s="87" t="s">
        <v>3792</v>
      </c>
      <c r="B844" s="208" t="s">
        <v>3794</v>
      </c>
      <c r="C844" s="252" t="s">
        <v>820</v>
      </c>
      <c r="D844" s="571">
        <v>37.723999999999997</v>
      </c>
      <c r="E844" s="571">
        <v>12.916</v>
      </c>
      <c r="F844" s="572">
        <v>4879</v>
      </c>
      <c r="G844" s="27">
        <v>4963</v>
      </c>
      <c r="H844" s="115">
        <v>4795</v>
      </c>
      <c r="I844" s="250" t="s">
        <v>2920</v>
      </c>
      <c r="J844" s="40" t="s">
        <v>69</v>
      </c>
      <c r="K844" s="621" t="s">
        <v>3796</v>
      </c>
      <c r="L844" s="17" t="s">
        <v>2</v>
      </c>
      <c r="M844" s="621" t="s">
        <v>3789</v>
      </c>
      <c r="N844" s="652" t="s">
        <v>3798</v>
      </c>
      <c r="O844" s="205"/>
    </row>
    <row r="845" spans="1:15" ht="15.75" thickBot="1" x14ac:dyDescent="0.3">
      <c r="A845" s="87" t="s">
        <v>3792</v>
      </c>
      <c r="B845" s="208" t="s">
        <v>3794</v>
      </c>
      <c r="C845" s="252" t="s">
        <v>820</v>
      </c>
      <c r="D845" s="571">
        <v>37.723999999999997</v>
      </c>
      <c r="E845" s="571">
        <v>12.916</v>
      </c>
      <c r="F845" s="572">
        <v>4775</v>
      </c>
      <c r="G845" s="27">
        <v>4837</v>
      </c>
      <c r="H845" s="115">
        <v>4713</v>
      </c>
      <c r="I845" s="249" t="s">
        <v>3801</v>
      </c>
      <c r="J845" s="40" t="s">
        <v>147</v>
      </c>
      <c r="K845" s="621" t="s">
        <v>3796</v>
      </c>
      <c r="L845" s="17" t="s">
        <v>14</v>
      </c>
      <c r="M845" s="621" t="s">
        <v>3790</v>
      </c>
      <c r="N845" s="652" t="s">
        <v>3799</v>
      </c>
      <c r="O845" s="205"/>
    </row>
    <row r="846" spans="1:15" ht="15.75" thickBot="1" x14ac:dyDescent="0.3">
      <c r="A846" s="87" t="s">
        <v>3792</v>
      </c>
      <c r="B846" s="208" t="s">
        <v>3794</v>
      </c>
      <c r="C846" s="252" t="s">
        <v>820</v>
      </c>
      <c r="D846" s="571">
        <v>37.723999999999997</v>
      </c>
      <c r="E846" s="571">
        <v>12.916</v>
      </c>
      <c r="F846" s="572">
        <v>4878</v>
      </c>
      <c r="G846" s="27">
        <v>4975</v>
      </c>
      <c r="H846" s="115">
        <v>4781</v>
      </c>
      <c r="I846" s="250" t="s">
        <v>2491</v>
      </c>
      <c r="J846" s="40" t="s">
        <v>69</v>
      </c>
      <c r="K846" s="621" t="s">
        <v>3796</v>
      </c>
      <c r="L846" s="17" t="s">
        <v>2</v>
      </c>
      <c r="M846" s="621" t="s">
        <v>3791</v>
      </c>
      <c r="N846" s="652" t="s">
        <v>3800</v>
      </c>
      <c r="O846" s="205"/>
    </row>
    <row r="847" spans="1:15" x14ac:dyDescent="0.25">
      <c r="A847" s="87" t="s">
        <v>3802</v>
      </c>
      <c r="B847" s="208" t="s">
        <v>3805</v>
      </c>
      <c r="C847" s="252" t="s">
        <v>820</v>
      </c>
      <c r="D847" s="90">
        <v>46.216667000000001</v>
      </c>
      <c r="E847" s="90">
        <v>11.116667</v>
      </c>
      <c r="F847" s="534">
        <v>4590</v>
      </c>
      <c r="G847" s="321">
        <v>4679</v>
      </c>
      <c r="H847" s="321">
        <v>4501</v>
      </c>
      <c r="I847" s="97" t="s">
        <v>109</v>
      </c>
      <c r="J847" s="40" t="s">
        <v>69</v>
      </c>
      <c r="K847" s="108" t="s">
        <v>3804</v>
      </c>
      <c r="L847" s="17" t="s">
        <v>69</v>
      </c>
      <c r="M847" s="108" t="s">
        <v>3803</v>
      </c>
      <c r="N847" s="230" t="s">
        <v>69</v>
      </c>
      <c r="O847" s="205"/>
    </row>
    <row r="848" spans="1:15" s="2" customFormat="1" x14ac:dyDescent="0.25">
      <c r="A848" s="87" t="s">
        <v>3118</v>
      </c>
      <c r="B848" s="208" t="s">
        <v>3795</v>
      </c>
      <c r="C848" s="252" t="s">
        <v>820</v>
      </c>
      <c r="D848" s="41">
        <v>38.11</v>
      </c>
      <c r="E848" s="41">
        <v>12.786</v>
      </c>
      <c r="F848" s="116">
        <f t="shared" ref="F848:F853" si="32">AVERAGE(G848:H848)</f>
        <v>5295</v>
      </c>
      <c r="G848" s="321">
        <v>5380</v>
      </c>
      <c r="H848" s="517">
        <v>5210</v>
      </c>
      <c r="I848" s="97" t="s">
        <v>314</v>
      </c>
      <c r="J848" s="40" t="s">
        <v>264</v>
      </c>
      <c r="K848" s="108" t="s">
        <v>877</v>
      </c>
      <c r="L848" s="17" t="s">
        <v>14</v>
      </c>
      <c r="M848" s="108" t="s">
        <v>878</v>
      </c>
      <c r="N848" s="230" t="s">
        <v>69</v>
      </c>
      <c r="O848" s="205" t="s">
        <v>4123</v>
      </c>
    </row>
    <row r="849" spans="1:15" x14ac:dyDescent="0.25">
      <c r="A849" s="87" t="s">
        <v>2411</v>
      </c>
      <c r="B849" s="208" t="s">
        <v>3795</v>
      </c>
      <c r="C849" s="252" t="s">
        <v>820</v>
      </c>
      <c r="D849" s="41">
        <v>38.11</v>
      </c>
      <c r="E849" s="41">
        <v>12.786</v>
      </c>
      <c r="F849" s="116">
        <f t="shared" si="32"/>
        <v>5420</v>
      </c>
      <c r="G849" s="27">
        <v>5480</v>
      </c>
      <c r="H849" s="115">
        <v>5360</v>
      </c>
      <c r="I849" s="97" t="s">
        <v>18</v>
      </c>
      <c r="J849" s="281" t="s">
        <v>69</v>
      </c>
      <c r="K849" s="108" t="s">
        <v>877</v>
      </c>
      <c r="L849" s="17" t="s">
        <v>2</v>
      </c>
      <c r="M849" s="108" t="s">
        <v>2502</v>
      </c>
      <c r="N849" s="230" t="s">
        <v>69</v>
      </c>
      <c r="O849" s="205" t="s">
        <v>4123</v>
      </c>
    </row>
    <row r="850" spans="1:15" s="6" customFormat="1" x14ac:dyDescent="0.25">
      <c r="A850" s="87" t="s">
        <v>2411</v>
      </c>
      <c r="B850" s="208" t="s">
        <v>3795</v>
      </c>
      <c r="C850" s="252" t="s">
        <v>820</v>
      </c>
      <c r="D850" s="41">
        <v>38.11</v>
      </c>
      <c r="E850" s="41">
        <v>12.786</v>
      </c>
      <c r="F850" s="116">
        <f t="shared" si="32"/>
        <v>5295</v>
      </c>
      <c r="G850" s="321">
        <v>5380</v>
      </c>
      <c r="H850" s="517">
        <v>5210</v>
      </c>
      <c r="I850" s="97" t="s">
        <v>314</v>
      </c>
      <c r="J850" s="281" t="s">
        <v>69</v>
      </c>
      <c r="K850" s="108" t="s">
        <v>877</v>
      </c>
      <c r="L850" s="17" t="s">
        <v>2</v>
      </c>
      <c r="M850" s="108" t="s">
        <v>879</v>
      </c>
      <c r="N850" s="230" t="s">
        <v>69</v>
      </c>
      <c r="O850" s="205"/>
    </row>
    <row r="851" spans="1:15" s="6" customFormat="1" x14ac:dyDescent="0.25">
      <c r="A851" s="87" t="s">
        <v>2411</v>
      </c>
      <c r="B851" s="208" t="s">
        <v>3795</v>
      </c>
      <c r="C851" s="252" t="s">
        <v>820</v>
      </c>
      <c r="D851" s="41">
        <v>38.11</v>
      </c>
      <c r="E851" s="41">
        <v>12.786</v>
      </c>
      <c r="F851" s="116">
        <f t="shared" si="32"/>
        <v>5270</v>
      </c>
      <c r="G851" s="27">
        <v>5330</v>
      </c>
      <c r="H851" s="115">
        <v>5210</v>
      </c>
      <c r="I851" s="97" t="s">
        <v>128</v>
      </c>
      <c r="J851" s="40" t="s">
        <v>69</v>
      </c>
      <c r="K851" s="108" t="s">
        <v>877</v>
      </c>
      <c r="L851" s="17" t="s">
        <v>2</v>
      </c>
      <c r="M851" s="108" t="s">
        <v>880</v>
      </c>
      <c r="N851" s="230" t="s">
        <v>69</v>
      </c>
      <c r="O851" s="205"/>
    </row>
    <row r="852" spans="1:15" s="6" customFormat="1" ht="15.75" thickBot="1" x14ac:dyDescent="0.3">
      <c r="A852" s="87" t="s">
        <v>2411</v>
      </c>
      <c r="B852" s="208" t="s">
        <v>3795</v>
      </c>
      <c r="C852" s="252" t="s">
        <v>820</v>
      </c>
      <c r="D852" s="41">
        <v>38.11</v>
      </c>
      <c r="E852" s="41">
        <v>12.786</v>
      </c>
      <c r="F852" s="116">
        <f t="shared" si="32"/>
        <v>5270</v>
      </c>
      <c r="G852" s="27">
        <v>5330</v>
      </c>
      <c r="H852" s="115">
        <v>5210</v>
      </c>
      <c r="I852" s="97" t="s">
        <v>871</v>
      </c>
      <c r="J852" s="40" t="s">
        <v>69</v>
      </c>
      <c r="K852" s="108" t="s">
        <v>877</v>
      </c>
      <c r="L852" s="17" t="s">
        <v>2</v>
      </c>
      <c r="M852" s="108" t="s">
        <v>881</v>
      </c>
      <c r="N852" s="230" t="s">
        <v>69</v>
      </c>
      <c r="O852" s="205"/>
    </row>
    <row r="853" spans="1:15" s="2" customFormat="1" ht="15.75" thickBot="1" x14ac:dyDescent="0.3">
      <c r="A853" s="87" t="s">
        <v>2411</v>
      </c>
      <c r="B853" s="208" t="s">
        <v>3795</v>
      </c>
      <c r="C853" s="252" t="s">
        <v>820</v>
      </c>
      <c r="D853" s="41">
        <v>38.11</v>
      </c>
      <c r="E853" s="41">
        <v>12.786</v>
      </c>
      <c r="F853" s="116">
        <f t="shared" si="32"/>
        <v>4795</v>
      </c>
      <c r="G853" s="27">
        <v>4880</v>
      </c>
      <c r="H853" s="115">
        <v>4710</v>
      </c>
      <c r="I853" s="174" t="s">
        <v>126</v>
      </c>
      <c r="J853" s="40" t="s">
        <v>2500</v>
      </c>
      <c r="K853" s="108" t="s">
        <v>2501</v>
      </c>
      <c r="L853" s="17" t="s">
        <v>14</v>
      </c>
      <c r="M853" s="108" t="s">
        <v>876</v>
      </c>
      <c r="N853" s="230" t="s">
        <v>69</v>
      </c>
      <c r="O853" s="205"/>
    </row>
    <row r="854" spans="1:15" s="2" customFormat="1" x14ac:dyDescent="0.25">
      <c r="A854" s="87" t="s">
        <v>2504</v>
      </c>
      <c r="B854" s="208" t="s">
        <v>2584</v>
      </c>
      <c r="C854" s="252" t="s">
        <v>820</v>
      </c>
      <c r="D854" s="539">
        <v>43.075000000000003</v>
      </c>
      <c r="E854" s="539">
        <v>13.058999999999999</v>
      </c>
      <c r="F854" s="540">
        <v>5344</v>
      </c>
      <c r="G854" s="539">
        <v>5471</v>
      </c>
      <c r="H854" s="539">
        <v>5217</v>
      </c>
      <c r="I854" s="132" t="s">
        <v>2550</v>
      </c>
      <c r="J854" s="598" t="s">
        <v>69</v>
      </c>
      <c r="K854" s="108" t="s">
        <v>830</v>
      </c>
      <c r="L854" s="17" t="s">
        <v>2</v>
      </c>
      <c r="M854" s="600" t="s">
        <v>2582</v>
      </c>
      <c r="N854" s="209" t="s">
        <v>2583</v>
      </c>
      <c r="O854" s="205"/>
    </row>
    <row r="855" spans="1:15" s="2" customFormat="1" x14ac:dyDescent="0.25">
      <c r="A855" s="87" t="s">
        <v>2504</v>
      </c>
      <c r="B855" s="208" t="s">
        <v>2616</v>
      </c>
      <c r="C855" s="252" t="s">
        <v>820</v>
      </c>
      <c r="D855" s="539">
        <v>41.87</v>
      </c>
      <c r="E855" s="539">
        <v>13.282999999999999</v>
      </c>
      <c r="F855" s="540">
        <v>5460</v>
      </c>
      <c r="G855" s="539">
        <v>5552</v>
      </c>
      <c r="H855" s="539">
        <v>5368</v>
      </c>
      <c r="I855" s="132" t="s">
        <v>7</v>
      </c>
      <c r="J855" s="598" t="s">
        <v>2617</v>
      </c>
      <c r="K855" s="108" t="s">
        <v>830</v>
      </c>
      <c r="L855" s="17" t="s">
        <v>14</v>
      </c>
      <c r="M855" s="600" t="s">
        <v>2614</v>
      </c>
      <c r="N855" s="209" t="s">
        <v>2615</v>
      </c>
      <c r="O855" s="205"/>
    </row>
    <row r="856" spans="1:15" s="2" customFormat="1" x14ac:dyDescent="0.25">
      <c r="A856" s="671" t="s">
        <v>4279</v>
      </c>
      <c r="B856" s="669"/>
      <c r="C856" s="668"/>
      <c r="D856" s="684">
        <f>AVERAGE(D833:D855)</f>
        <v>40.755097886956534</v>
      </c>
      <c r="E856" s="684">
        <f>AVERAGE(E833:E855)</f>
        <v>13.009315452173913</v>
      </c>
      <c r="F856" s="685">
        <f>AVERAGE(F833:F855)</f>
        <v>5274.869565217391</v>
      </c>
      <c r="G856" s="12"/>
      <c r="H856" s="113"/>
      <c r="I856" s="359"/>
      <c r="J856" s="281"/>
      <c r="K856" s="232"/>
      <c r="L856" s="29"/>
      <c r="M856" s="232"/>
      <c r="N856" s="354"/>
      <c r="O856" s="325"/>
    </row>
    <row r="857" spans="1:15" s="2" customFormat="1" x14ac:dyDescent="0.25">
      <c r="A857" s="806"/>
      <c r="B857" s="807"/>
      <c r="C857" s="808"/>
      <c r="D857" s="809"/>
      <c r="E857" s="809"/>
      <c r="F857" s="810"/>
      <c r="G857" s="12"/>
      <c r="H857" s="113"/>
      <c r="I857" s="281"/>
      <c r="J857" s="281"/>
      <c r="K857" s="232"/>
      <c r="L857" s="29"/>
      <c r="M857" s="232"/>
      <c r="N857" s="354"/>
      <c r="O857" s="325"/>
    </row>
    <row r="858" spans="1:15" s="2" customFormat="1" ht="14.45" customHeight="1" x14ac:dyDescent="0.25">
      <c r="A858" s="665" t="s">
        <v>4282</v>
      </c>
      <c r="B858" s="366"/>
      <c r="C858" s="366"/>
      <c r="D858" s="360"/>
      <c r="E858" s="360"/>
      <c r="F858" s="361"/>
      <c r="G858" s="362"/>
      <c r="H858" s="363"/>
      <c r="I858" s="362"/>
      <c r="J858" s="362"/>
      <c r="K858" s="364"/>
      <c r="L858" s="362"/>
      <c r="M858" s="364"/>
      <c r="N858" s="365"/>
      <c r="O858" s="61"/>
    </row>
    <row r="859" spans="1:15" s="100" customFormat="1" ht="32.450000000000003" customHeight="1" x14ac:dyDescent="0.25">
      <c r="A859" s="507" t="s">
        <v>4291</v>
      </c>
      <c r="B859" s="508" t="s">
        <v>1247</v>
      </c>
      <c r="C859" s="519" t="s">
        <v>0</v>
      </c>
      <c r="D859" s="510" t="s">
        <v>969</v>
      </c>
      <c r="E859" s="510" t="s">
        <v>2323</v>
      </c>
      <c r="F859" s="510" t="s">
        <v>398</v>
      </c>
      <c r="G859" s="511" t="s">
        <v>399</v>
      </c>
      <c r="H859" s="512" t="s">
        <v>400</v>
      </c>
      <c r="I859" s="101" t="s">
        <v>2322</v>
      </c>
      <c r="J859" s="589" t="s">
        <v>3927</v>
      </c>
      <c r="K859" s="590" t="s">
        <v>3250</v>
      </c>
      <c r="L859" s="591" t="s">
        <v>1</v>
      </c>
      <c r="M859" s="590" t="s">
        <v>3486</v>
      </c>
      <c r="N859" s="640" t="s">
        <v>3487</v>
      </c>
      <c r="O859" s="339" t="s">
        <v>2324</v>
      </c>
    </row>
    <row r="860" spans="1:15" s="100" customFormat="1" ht="14.45" customHeight="1" x14ac:dyDescent="0.25">
      <c r="A860" s="555" t="s">
        <v>407</v>
      </c>
      <c r="B860" s="573" t="s">
        <v>3139</v>
      </c>
      <c r="C860" s="252" t="s">
        <v>2830</v>
      </c>
      <c r="D860" s="41">
        <v>43.457000000000001</v>
      </c>
      <c r="E860" s="41">
        <v>5.8630000000000004</v>
      </c>
      <c r="F860" s="511">
        <f>(G860+H860)/2</f>
        <v>4682</v>
      </c>
      <c r="G860" s="522">
        <v>4778</v>
      </c>
      <c r="H860" s="574">
        <v>4586</v>
      </c>
      <c r="I860" s="111" t="s">
        <v>3</v>
      </c>
      <c r="J860" s="2" t="s">
        <v>420</v>
      </c>
      <c r="K860" s="525" t="s">
        <v>3140</v>
      </c>
      <c r="L860" s="595" t="s">
        <v>14</v>
      </c>
      <c r="M860" s="87" t="s">
        <v>3135</v>
      </c>
      <c r="N860" s="209" t="s">
        <v>3137</v>
      </c>
      <c r="O860" s="656"/>
    </row>
    <row r="861" spans="1:15" s="100" customFormat="1" ht="14.45" customHeight="1" x14ac:dyDescent="0.25">
      <c r="A861" s="555" t="s">
        <v>407</v>
      </c>
      <c r="B861" s="205" t="s">
        <v>3139</v>
      </c>
      <c r="C861" s="252" t="s">
        <v>2830</v>
      </c>
      <c r="D861" s="41">
        <v>43.457000000000001</v>
      </c>
      <c r="E861" s="41">
        <v>5.8630000000000004</v>
      </c>
      <c r="F861" s="511">
        <f>(G861+H861)/2</f>
        <v>4720.5</v>
      </c>
      <c r="G861" s="522">
        <v>4825</v>
      </c>
      <c r="H861" s="574">
        <v>4616</v>
      </c>
      <c r="I861" s="111" t="s">
        <v>2573</v>
      </c>
      <c r="J861" s="2" t="s">
        <v>69</v>
      </c>
      <c r="K861" s="525" t="s">
        <v>3140</v>
      </c>
      <c r="L861" s="595" t="s">
        <v>2</v>
      </c>
      <c r="M861" s="87" t="s">
        <v>3158</v>
      </c>
      <c r="N861" s="209" t="s">
        <v>3159</v>
      </c>
      <c r="O861" s="339"/>
    </row>
    <row r="862" spans="1:15" s="100" customFormat="1" ht="13.9" customHeight="1" x14ac:dyDescent="0.25">
      <c r="A862" s="555" t="s">
        <v>1975</v>
      </c>
      <c r="B862" s="573" t="s">
        <v>3139</v>
      </c>
      <c r="C862" s="252" t="s">
        <v>2830</v>
      </c>
      <c r="D862" s="41">
        <v>43.457000000000001</v>
      </c>
      <c r="E862" s="41">
        <v>5.8630000000000004</v>
      </c>
      <c r="F862" s="511">
        <f>(G862+H862)/2</f>
        <v>4688</v>
      </c>
      <c r="G862" s="522">
        <v>4787</v>
      </c>
      <c r="H862" s="574">
        <v>4589</v>
      </c>
      <c r="I862" s="111" t="s">
        <v>1168</v>
      </c>
      <c r="J862" s="2" t="s">
        <v>420</v>
      </c>
      <c r="K862" s="525" t="s">
        <v>3140</v>
      </c>
      <c r="L862" s="595" t="s">
        <v>14</v>
      </c>
      <c r="M862" s="87" t="s">
        <v>3136</v>
      </c>
      <c r="N862" s="209" t="s">
        <v>3138</v>
      </c>
      <c r="O862" s="339"/>
    </row>
    <row r="863" spans="1:15" s="45" customFormat="1" ht="15.75" thickBot="1" x14ac:dyDescent="0.3">
      <c r="A863" s="189" t="s">
        <v>896</v>
      </c>
      <c r="B863" s="237" t="s">
        <v>1242</v>
      </c>
      <c r="C863" s="252" t="s">
        <v>2830</v>
      </c>
      <c r="D863" s="41">
        <v>43.19</v>
      </c>
      <c r="E863" s="41">
        <v>2.25</v>
      </c>
      <c r="F863" s="116">
        <f t="shared" ref="F863:F894" si="33">AVERAGE(G863:H863)</f>
        <v>5179</v>
      </c>
      <c r="G863" s="197">
        <v>5296</v>
      </c>
      <c r="H863" s="192">
        <v>5062</v>
      </c>
      <c r="I863" s="76" t="s">
        <v>559</v>
      </c>
      <c r="J863" s="40" t="s">
        <v>69</v>
      </c>
      <c r="K863" s="194" t="s">
        <v>2933</v>
      </c>
      <c r="L863" s="17" t="s">
        <v>69</v>
      </c>
      <c r="M863" s="108" t="s">
        <v>1241</v>
      </c>
      <c r="N863" s="230"/>
      <c r="O863" s="206"/>
    </row>
    <row r="864" spans="1:15" s="45" customFormat="1" ht="15.75" thickBot="1" x14ac:dyDescent="0.3">
      <c r="A864" s="189" t="s">
        <v>896</v>
      </c>
      <c r="B864" s="237" t="s">
        <v>1243</v>
      </c>
      <c r="C864" s="252" t="s">
        <v>2830</v>
      </c>
      <c r="D864" s="41">
        <v>43.124699999999997</v>
      </c>
      <c r="E864" s="41">
        <v>2.21</v>
      </c>
      <c r="F864" s="116">
        <f t="shared" si="33"/>
        <v>4757</v>
      </c>
      <c r="G864" s="197">
        <v>4827</v>
      </c>
      <c r="H864" s="192">
        <v>4687</v>
      </c>
      <c r="I864" s="178" t="s">
        <v>1245</v>
      </c>
      <c r="J864" s="40" t="s">
        <v>69</v>
      </c>
      <c r="K864" s="417" t="s">
        <v>2965</v>
      </c>
      <c r="L864" s="17" t="s">
        <v>69</v>
      </c>
      <c r="M864" s="108" t="s">
        <v>1244</v>
      </c>
      <c r="N864" s="230"/>
      <c r="O864" s="206"/>
    </row>
    <row r="865" spans="1:15" s="45" customFormat="1" x14ac:dyDescent="0.25">
      <c r="A865" s="189" t="s">
        <v>896</v>
      </c>
      <c r="B865" s="237" t="s">
        <v>1243</v>
      </c>
      <c r="C865" s="252" t="s">
        <v>2830</v>
      </c>
      <c r="D865" s="41">
        <v>43.124699999999997</v>
      </c>
      <c r="E865" s="41">
        <v>2.21</v>
      </c>
      <c r="F865" s="116">
        <f t="shared" si="33"/>
        <v>4566.5</v>
      </c>
      <c r="G865" s="197">
        <v>4680</v>
      </c>
      <c r="H865" s="197">
        <v>4453</v>
      </c>
      <c r="I865" s="76" t="s">
        <v>10</v>
      </c>
      <c r="J865" s="40" t="s">
        <v>69</v>
      </c>
      <c r="K865" s="417" t="s">
        <v>2966</v>
      </c>
      <c r="L865" s="17" t="s">
        <v>69</v>
      </c>
      <c r="M865" s="108" t="s">
        <v>1246</v>
      </c>
      <c r="N865" s="230"/>
      <c r="O865" s="206"/>
    </row>
    <row r="866" spans="1:15" s="45" customFormat="1" x14ac:dyDescent="0.25">
      <c r="A866" s="189" t="s">
        <v>896</v>
      </c>
      <c r="B866" s="237" t="s">
        <v>1243</v>
      </c>
      <c r="C866" s="252" t="s">
        <v>2830</v>
      </c>
      <c r="D866" s="41">
        <v>43.124699999999997</v>
      </c>
      <c r="E866" s="41">
        <v>2.21</v>
      </c>
      <c r="F866" s="116">
        <f t="shared" si="33"/>
        <v>4290</v>
      </c>
      <c r="G866" s="197">
        <v>4341</v>
      </c>
      <c r="H866" s="197">
        <v>4239</v>
      </c>
      <c r="I866" s="199" t="s">
        <v>1251</v>
      </c>
      <c r="J866" s="40" t="s">
        <v>69</v>
      </c>
      <c r="K866" s="295" t="s">
        <v>2943</v>
      </c>
      <c r="L866" s="17" t="s">
        <v>69</v>
      </c>
      <c r="M866" s="108" t="s">
        <v>3002</v>
      </c>
      <c r="N866" s="230"/>
      <c r="O866" s="207"/>
    </row>
    <row r="867" spans="1:15" s="45" customFormat="1" x14ac:dyDescent="0.25">
      <c r="A867" s="189" t="s">
        <v>896</v>
      </c>
      <c r="B867" s="237" t="s">
        <v>1249</v>
      </c>
      <c r="C867" s="252" t="s">
        <v>2830</v>
      </c>
      <c r="D867" s="41">
        <v>43.205100000000002</v>
      </c>
      <c r="E867" s="41">
        <v>3.13</v>
      </c>
      <c r="F867" s="116">
        <f t="shared" si="33"/>
        <v>4300</v>
      </c>
      <c r="G867" s="197">
        <v>4500</v>
      </c>
      <c r="H867" s="192">
        <v>4100</v>
      </c>
      <c r="I867" s="76" t="s">
        <v>559</v>
      </c>
      <c r="J867" s="40" t="s">
        <v>69</v>
      </c>
      <c r="K867" s="417" t="s">
        <v>2943</v>
      </c>
      <c r="L867" s="17" t="s">
        <v>69</v>
      </c>
      <c r="M867" s="108" t="s">
        <v>1260</v>
      </c>
      <c r="N867" s="230"/>
      <c r="O867" s="206"/>
    </row>
    <row r="868" spans="1:15" s="45" customFormat="1" x14ac:dyDescent="0.25">
      <c r="A868" s="189" t="s">
        <v>896</v>
      </c>
      <c r="B868" s="237" t="s">
        <v>1249</v>
      </c>
      <c r="C868" s="252" t="s">
        <v>2830</v>
      </c>
      <c r="D868" s="41">
        <v>43.205100000000002</v>
      </c>
      <c r="E868" s="41">
        <v>3.13</v>
      </c>
      <c r="F868" s="116">
        <f t="shared" si="33"/>
        <v>4300</v>
      </c>
      <c r="G868" s="197">
        <v>4500</v>
      </c>
      <c r="H868" s="192">
        <v>4100</v>
      </c>
      <c r="I868" s="76" t="s">
        <v>1250</v>
      </c>
      <c r="J868" s="40" t="s">
        <v>1063</v>
      </c>
      <c r="K868" s="417" t="s">
        <v>2943</v>
      </c>
      <c r="L868" s="17" t="s">
        <v>14</v>
      </c>
      <c r="M868" s="108" t="s">
        <v>1259</v>
      </c>
      <c r="N868" s="230"/>
      <c r="O868" s="206"/>
    </row>
    <row r="869" spans="1:15" s="45" customFormat="1" x14ac:dyDescent="0.25">
      <c r="A869" s="189" t="s">
        <v>896</v>
      </c>
      <c r="B869" s="237" t="s">
        <v>1249</v>
      </c>
      <c r="C869" s="252" t="s">
        <v>2830</v>
      </c>
      <c r="D869" s="41">
        <v>43.205100000000002</v>
      </c>
      <c r="E869" s="41">
        <v>3.13</v>
      </c>
      <c r="F869" s="116">
        <f t="shared" si="33"/>
        <v>4300</v>
      </c>
      <c r="G869" s="197">
        <v>4500</v>
      </c>
      <c r="H869" s="192">
        <v>4100</v>
      </c>
      <c r="I869" s="76" t="s">
        <v>189</v>
      </c>
      <c r="J869" s="40" t="s">
        <v>69</v>
      </c>
      <c r="K869" s="417" t="s">
        <v>2943</v>
      </c>
      <c r="L869" s="17" t="s">
        <v>69</v>
      </c>
      <c r="M869" s="108" t="s">
        <v>1258</v>
      </c>
      <c r="N869" s="230"/>
      <c r="O869" s="206"/>
    </row>
    <row r="870" spans="1:15" s="45" customFormat="1" x14ac:dyDescent="0.25">
      <c r="A870" s="189" t="s">
        <v>896</v>
      </c>
      <c r="B870" s="237" t="s">
        <v>1249</v>
      </c>
      <c r="C870" s="252" t="s">
        <v>2830</v>
      </c>
      <c r="D870" s="41">
        <v>43.205100000000002</v>
      </c>
      <c r="E870" s="41">
        <v>3.13</v>
      </c>
      <c r="F870" s="116">
        <f t="shared" si="33"/>
        <v>4300</v>
      </c>
      <c r="G870" s="197">
        <v>4500</v>
      </c>
      <c r="H870" s="192">
        <v>4100</v>
      </c>
      <c r="I870" s="76" t="s">
        <v>1251</v>
      </c>
      <c r="J870" s="40" t="s">
        <v>69</v>
      </c>
      <c r="K870" s="417" t="s">
        <v>2943</v>
      </c>
      <c r="L870" s="17" t="s">
        <v>69</v>
      </c>
      <c r="M870" s="108" t="s">
        <v>1257</v>
      </c>
      <c r="N870" s="230"/>
      <c r="O870" s="206"/>
    </row>
    <row r="871" spans="1:15" s="45" customFormat="1" x14ac:dyDescent="0.25">
      <c r="A871" s="189" t="s">
        <v>896</v>
      </c>
      <c r="B871" s="237" t="s">
        <v>1249</v>
      </c>
      <c r="C871" s="252" t="s">
        <v>2830</v>
      </c>
      <c r="D871" s="41">
        <v>43.205100000000002</v>
      </c>
      <c r="E871" s="41">
        <v>3.13</v>
      </c>
      <c r="F871" s="116">
        <f t="shared" si="33"/>
        <v>4351.5</v>
      </c>
      <c r="G871" s="197">
        <v>4442</v>
      </c>
      <c r="H871" s="192">
        <v>4261</v>
      </c>
      <c r="I871" s="76" t="s">
        <v>153</v>
      </c>
      <c r="J871" s="40" t="s">
        <v>69</v>
      </c>
      <c r="K871" s="417" t="s">
        <v>2943</v>
      </c>
      <c r="L871" s="17" t="s">
        <v>69</v>
      </c>
      <c r="M871" s="108" t="s">
        <v>1256</v>
      </c>
      <c r="N871" s="230"/>
      <c r="O871" s="206"/>
    </row>
    <row r="872" spans="1:15" s="45" customFormat="1" x14ac:dyDescent="0.25">
      <c r="A872" s="189" t="s">
        <v>896</v>
      </c>
      <c r="B872" s="237" t="s">
        <v>1249</v>
      </c>
      <c r="C872" s="252" t="s">
        <v>2830</v>
      </c>
      <c r="D872" s="41">
        <v>43.205100000000002</v>
      </c>
      <c r="E872" s="41">
        <v>3.13</v>
      </c>
      <c r="F872" s="116">
        <f t="shared" si="33"/>
        <v>4355.5</v>
      </c>
      <c r="G872" s="197">
        <v>4446</v>
      </c>
      <c r="H872" s="192">
        <v>4265</v>
      </c>
      <c r="I872" s="76" t="s">
        <v>10</v>
      </c>
      <c r="J872" s="40" t="s">
        <v>69</v>
      </c>
      <c r="K872" s="417" t="s">
        <v>2943</v>
      </c>
      <c r="L872" s="17" t="s">
        <v>69</v>
      </c>
      <c r="M872" s="108" t="s">
        <v>1255</v>
      </c>
      <c r="N872" s="230"/>
      <c r="O872" s="206"/>
    </row>
    <row r="873" spans="1:15" s="45" customFormat="1" x14ac:dyDescent="0.25">
      <c r="A873" s="189" t="s">
        <v>896</v>
      </c>
      <c r="B873" s="237" t="s">
        <v>1249</v>
      </c>
      <c r="C873" s="252" t="s">
        <v>2830</v>
      </c>
      <c r="D873" s="41">
        <v>43.205100000000002</v>
      </c>
      <c r="E873" s="41">
        <v>3.13</v>
      </c>
      <c r="F873" s="575">
        <f t="shared" si="33"/>
        <v>4150.5</v>
      </c>
      <c r="G873" s="88">
        <v>4257</v>
      </c>
      <c r="H873" s="88">
        <v>4044</v>
      </c>
      <c r="I873" s="199" t="s">
        <v>2494</v>
      </c>
      <c r="J873" s="61" t="s">
        <v>900</v>
      </c>
      <c r="K873" s="295" t="s">
        <v>2943</v>
      </c>
      <c r="L873" s="17" t="s">
        <v>14</v>
      </c>
      <c r="M873" s="619" t="s">
        <v>2988</v>
      </c>
      <c r="N873" s="209"/>
      <c r="O873" s="207"/>
    </row>
    <row r="874" spans="1:15" s="45" customFormat="1" x14ac:dyDescent="0.25">
      <c r="A874" s="189" t="s">
        <v>896</v>
      </c>
      <c r="B874" s="237" t="s">
        <v>1249</v>
      </c>
      <c r="C874" s="252" t="s">
        <v>2830</v>
      </c>
      <c r="D874" s="41">
        <v>43.205100000000002</v>
      </c>
      <c r="E874" s="41">
        <v>3.13</v>
      </c>
      <c r="F874" s="575">
        <f t="shared" si="33"/>
        <v>4203</v>
      </c>
      <c r="G874" s="88">
        <v>4336</v>
      </c>
      <c r="H874" s="88">
        <v>4070</v>
      </c>
      <c r="I874" s="199" t="s">
        <v>2999</v>
      </c>
      <c r="J874" s="622" t="s">
        <v>69</v>
      </c>
      <c r="K874" s="295" t="s">
        <v>2943</v>
      </c>
      <c r="L874" s="17" t="s">
        <v>69</v>
      </c>
      <c r="M874" s="619" t="s">
        <v>2989</v>
      </c>
      <c r="N874" s="209"/>
      <c r="O874" s="207"/>
    </row>
    <row r="875" spans="1:15" s="45" customFormat="1" x14ac:dyDescent="0.25">
      <c r="A875" s="189" t="s">
        <v>896</v>
      </c>
      <c r="B875" s="237" t="s">
        <v>1249</v>
      </c>
      <c r="C875" s="252" t="s">
        <v>2830</v>
      </c>
      <c r="D875" s="41">
        <v>43.205100000000002</v>
      </c>
      <c r="E875" s="41">
        <v>3.13</v>
      </c>
      <c r="F875" s="575">
        <f t="shared" si="33"/>
        <v>4203.5</v>
      </c>
      <c r="G875" s="88">
        <v>4336</v>
      </c>
      <c r="H875" s="88">
        <v>4071</v>
      </c>
      <c r="I875" s="199" t="s">
        <v>3000</v>
      </c>
      <c r="J875" s="622" t="s">
        <v>69</v>
      </c>
      <c r="K875" s="295" t="s">
        <v>2943</v>
      </c>
      <c r="L875" s="17" t="s">
        <v>69</v>
      </c>
      <c r="M875" s="619" t="s">
        <v>2990</v>
      </c>
      <c r="N875" s="209"/>
      <c r="O875" s="207"/>
    </row>
    <row r="876" spans="1:15" s="45" customFormat="1" x14ac:dyDescent="0.25">
      <c r="A876" s="189" t="s">
        <v>896</v>
      </c>
      <c r="B876" s="237" t="s">
        <v>1249</v>
      </c>
      <c r="C876" s="252" t="s">
        <v>2830</v>
      </c>
      <c r="D876" s="41">
        <v>43.205100000000002</v>
      </c>
      <c r="E876" s="41">
        <v>3.13</v>
      </c>
      <c r="F876" s="575">
        <f t="shared" si="33"/>
        <v>4204</v>
      </c>
      <c r="G876" s="88">
        <v>4336</v>
      </c>
      <c r="H876" s="88">
        <v>4072</v>
      </c>
      <c r="I876" s="199" t="s">
        <v>189</v>
      </c>
      <c r="J876" s="622" t="s">
        <v>69</v>
      </c>
      <c r="K876" s="295" t="s">
        <v>2943</v>
      </c>
      <c r="L876" s="17" t="s">
        <v>69</v>
      </c>
      <c r="M876" s="619" t="s">
        <v>2991</v>
      </c>
      <c r="N876" s="209"/>
      <c r="O876" s="207"/>
    </row>
    <row r="877" spans="1:15" s="45" customFormat="1" ht="15.75" thickBot="1" x14ac:dyDescent="0.3">
      <c r="A877" s="189" t="s">
        <v>896</v>
      </c>
      <c r="B877" s="237" t="s">
        <v>1249</v>
      </c>
      <c r="C877" s="252" t="s">
        <v>2830</v>
      </c>
      <c r="D877" s="41">
        <v>43.205100000000002</v>
      </c>
      <c r="E877" s="41">
        <v>3.13</v>
      </c>
      <c r="F877" s="575">
        <f t="shared" si="33"/>
        <v>4287</v>
      </c>
      <c r="G877" s="88">
        <v>4341</v>
      </c>
      <c r="H877" s="88">
        <v>4233</v>
      </c>
      <c r="I877" s="199" t="s">
        <v>81</v>
      </c>
      <c r="J877" s="622" t="s">
        <v>69</v>
      </c>
      <c r="K877" s="295" t="s">
        <v>2943</v>
      </c>
      <c r="L877" s="17" t="s">
        <v>69</v>
      </c>
      <c r="M877" s="619" t="s">
        <v>2992</v>
      </c>
      <c r="N877" s="209"/>
      <c r="O877" s="207"/>
    </row>
    <row r="878" spans="1:15" s="45" customFormat="1" ht="15.75" thickBot="1" x14ac:dyDescent="0.3">
      <c r="A878" s="189" t="s">
        <v>896</v>
      </c>
      <c r="B878" s="237" t="s">
        <v>1249</v>
      </c>
      <c r="C878" s="252" t="s">
        <v>2830</v>
      </c>
      <c r="D878" s="41">
        <v>43.205100000000002</v>
      </c>
      <c r="E878" s="41">
        <v>3.13</v>
      </c>
      <c r="F878" s="575">
        <f t="shared" si="33"/>
        <v>4201</v>
      </c>
      <c r="G878" s="88">
        <v>4334</v>
      </c>
      <c r="H878" s="88">
        <v>4068</v>
      </c>
      <c r="I878" s="198" t="s">
        <v>669</v>
      </c>
      <c r="J878" s="622" t="s">
        <v>69</v>
      </c>
      <c r="K878" s="295" t="s">
        <v>2943</v>
      </c>
      <c r="L878" s="17" t="s">
        <v>69</v>
      </c>
      <c r="M878" s="619" t="s">
        <v>2993</v>
      </c>
      <c r="N878" s="209"/>
      <c r="O878" s="207"/>
    </row>
    <row r="879" spans="1:15" s="45" customFormat="1" x14ac:dyDescent="0.25">
      <c r="A879" s="189" t="s">
        <v>896</v>
      </c>
      <c r="B879" s="237" t="s">
        <v>1249</v>
      </c>
      <c r="C879" s="252" t="s">
        <v>2830</v>
      </c>
      <c r="D879" s="41">
        <v>43.205100000000002</v>
      </c>
      <c r="E879" s="41">
        <v>3.13</v>
      </c>
      <c r="F879" s="575">
        <f t="shared" si="33"/>
        <v>4201.5</v>
      </c>
      <c r="G879" s="88">
        <v>4334</v>
      </c>
      <c r="H879" s="88">
        <v>4069</v>
      </c>
      <c r="I879" s="199" t="s">
        <v>1192</v>
      </c>
      <c r="J879" s="622" t="s">
        <v>69</v>
      </c>
      <c r="K879" s="295" t="s">
        <v>2943</v>
      </c>
      <c r="L879" s="17" t="s">
        <v>69</v>
      </c>
      <c r="M879" s="619" t="s">
        <v>2994</v>
      </c>
      <c r="N879" s="209"/>
      <c r="O879" s="207"/>
    </row>
    <row r="880" spans="1:15" s="45" customFormat="1" ht="15.75" thickBot="1" x14ac:dyDescent="0.3">
      <c r="A880" s="189" t="s">
        <v>896</v>
      </c>
      <c r="B880" s="237" t="s">
        <v>1249</v>
      </c>
      <c r="C880" s="252" t="s">
        <v>2830</v>
      </c>
      <c r="D880" s="41">
        <v>43.205100000000002</v>
      </c>
      <c r="E880" s="41">
        <v>3.13</v>
      </c>
      <c r="F880" s="575">
        <f t="shared" si="33"/>
        <v>4201</v>
      </c>
      <c r="G880" s="88">
        <v>4334</v>
      </c>
      <c r="H880" s="88">
        <v>4068</v>
      </c>
      <c r="I880" s="199" t="s">
        <v>3</v>
      </c>
      <c r="J880" s="622" t="s">
        <v>69</v>
      </c>
      <c r="K880" s="295" t="s">
        <v>2943</v>
      </c>
      <c r="L880" s="17" t="s">
        <v>69</v>
      </c>
      <c r="M880" s="619" t="s">
        <v>2995</v>
      </c>
      <c r="N880" s="209"/>
      <c r="O880" s="207"/>
    </row>
    <row r="881" spans="1:15" s="45" customFormat="1" ht="15.75" thickBot="1" x14ac:dyDescent="0.3">
      <c r="A881" s="189" t="s">
        <v>896</v>
      </c>
      <c r="B881" s="237" t="s">
        <v>1249</v>
      </c>
      <c r="C881" s="252" t="s">
        <v>2830</v>
      </c>
      <c r="D881" s="41">
        <v>43.205100000000002</v>
      </c>
      <c r="E881" s="41">
        <v>3.13</v>
      </c>
      <c r="F881" s="575">
        <f t="shared" si="33"/>
        <v>4307</v>
      </c>
      <c r="G881" s="88">
        <v>4356</v>
      </c>
      <c r="H881" s="88">
        <v>4258</v>
      </c>
      <c r="I881" s="198" t="s">
        <v>1245</v>
      </c>
      <c r="J881" s="622" t="s">
        <v>69</v>
      </c>
      <c r="K881" s="295" t="s">
        <v>2943</v>
      </c>
      <c r="L881" s="17" t="s">
        <v>69</v>
      </c>
      <c r="M881" s="619" t="s">
        <v>2996</v>
      </c>
      <c r="N881" s="209"/>
      <c r="O881" s="207"/>
    </row>
    <row r="882" spans="1:15" s="45" customFormat="1" ht="15.75" thickBot="1" x14ac:dyDescent="0.3">
      <c r="A882" s="189" t="s">
        <v>896</v>
      </c>
      <c r="B882" s="237" t="s">
        <v>1249</v>
      </c>
      <c r="C882" s="252" t="s">
        <v>2830</v>
      </c>
      <c r="D882" s="41">
        <v>43.205100000000002</v>
      </c>
      <c r="E882" s="41">
        <v>3.13</v>
      </c>
      <c r="F882" s="575">
        <f t="shared" si="33"/>
        <v>4203.5</v>
      </c>
      <c r="G882" s="88">
        <v>4336</v>
      </c>
      <c r="H882" s="88">
        <v>4071</v>
      </c>
      <c r="I882" s="198" t="s">
        <v>536</v>
      </c>
      <c r="J882" s="61" t="s">
        <v>3001</v>
      </c>
      <c r="K882" s="295" t="s">
        <v>2943</v>
      </c>
      <c r="L882" s="17" t="s">
        <v>14</v>
      </c>
      <c r="M882" s="619" t="s">
        <v>2997</v>
      </c>
      <c r="N882" s="209"/>
      <c r="O882" s="207"/>
    </row>
    <row r="883" spans="1:15" s="45" customFormat="1" ht="15.75" thickBot="1" x14ac:dyDescent="0.3">
      <c r="A883" s="189" t="s">
        <v>896</v>
      </c>
      <c r="B883" s="237" t="s">
        <v>1249</v>
      </c>
      <c r="C883" s="252" t="s">
        <v>2830</v>
      </c>
      <c r="D883" s="41">
        <v>43.205100000000002</v>
      </c>
      <c r="E883" s="41">
        <v>3.13</v>
      </c>
      <c r="F883" s="575">
        <f t="shared" si="33"/>
        <v>4312.5</v>
      </c>
      <c r="G883" s="88">
        <v>4366</v>
      </c>
      <c r="H883" s="88">
        <v>4259</v>
      </c>
      <c r="I883" s="199" t="s">
        <v>3</v>
      </c>
      <c r="J883" s="622" t="s">
        <v>69</v>
      </c>
      <c r="K883" s="295" t="s">
        <v>2943</v>
      </c>
      <c r="L883" s="17" t="s">
        <v>69</v>
      </c>
      <c r="M883" s="619" t="s">
        <v>2998</v>
      </c>
      <c r="N883" s="209"/>
      <c r="O883" s="207"/>
    </row>
    <row r="884" spans="1:15" s="45" customFormat="1" ht="15.75" thickBot="1" x14ac:dyDescent="0.3">
      <c r="A884" s="189" t="s">
        <v>896</v>
      </c>
      <c r="B884" s="237" t="s">
        <v>1248</v>
      </c>
      <c r="C884" s="252" t="s">
        <v>2830</v>
      </c>
      <c r="D884" s="41">
        <v>43.251600000000003</v>
      </c>
      <c r="E884" s="41">
        <v>3.2202000000000002</v>
      </c>
      <c r="F884" s="116">
        <f t="shared" si="33"/>
        <v>4308</v>
      </c>
      <c r="G884" s="197">
        <v>4444</v>
      </c>
      <c r="H884" s="192">
        <v>4172</v>
      </c>
      <c r="I884" s="178" t="s">
        <v>669</v>
      </c>
      <c r="J884" s="40" t="s">
        <v>69</v>
      </c>
      <c r="K884" s="417" t="s">
        <v>2943</v>
      </c>
      <c r="L884" s="17" t="s">
        <v>69</v>
      </c>
      <c r="M884" s="108" t="s">
        <v>1254</v>
      </c>
      <c r="N884" s="230"/>
      <c r="O884" s="206"/>
    </row>
    <row r="885" spans="1:15" s="45" customFormat="1" x14ac:dyDescent="0.25">
      <c r="A885" s="189" t="s">
        <v>896</v>
      </c>
      <c r="B885" s="237" t="s">
        <v>1248</v>
      </c>
      <c r="C885" s="252" t="s">
        <v>2830</v>
      </c>
      <c r="D885" s="41">
        <v>43.251600000000003</v>
      </c>
      <c r="E885" s="41">
        <v>3.2202000000000002</v>
      </c>
      <c r="F885" s="116">
        <f t="shared" si="33"/>
        <v>4311.5</v>
      </c>
      <c r="G885" s="197">
        <v>4450</v>
      </c>
      <c r="H885" s="192">
        <v>4173</v>
      </c>
      <c r="I885" s="76" t="s">
        <v>10</v>
      </c>
      <c r="J885" s="40" t="s">
        <v>69</v>
      </c>
      <c r="K885" s="417" t="s">
        <v>2943</v>
      </c>
      <c r="L885" s="17" t="s">
        <v>69</v>
      </c>
      <c r="M885" s="108" t="s">
        <v>1253</v>
      </c>
      <c r="N885" s="230"/>
      <c r="O885" s="206"/>
    </row>
    <row r="886" spans="1:15" s="45" customFormat="1" x14ac:dyDescent="0.25">
      <c r="A886" s="189" t="s">
        <v>896</v>
      </c>
      <c r="B886" s="237" t="s">
        <v>1248</v>
      </c>
      <c r="C886" s="252" t="s">
        <v>2830</v>
      </c>
      <c r="D886" s="41">
        <v>43.251600000000003</v>
      </c>
      <c r="E886" s="41">
        <v>3.2202000000000002</v>
      </c>
      <c r="F886" s="116">
        <f t="shared" si="33"/>
        <v>4311</v>
      </c>
      <c r="G886" s="197">
        <v>4446</v>
      </c>
      <c r="H886" s="192">
        <v>4176</v>
      </c>
      <c r="I886" s="76" t="s">
        <v>889</v>
      </c>
      <c r="J886" s="40" t="s">
        <v>69</v>
      </c>
      <c r="K886" s="417" t="s">
        <v>2943</v>
      </c>
      <c r="L886" s="17" t="s">
        <v>69</v>
      </c>
      <c r="M886" s="108" t="s">
        <v>1252</v>
      </c>
      <c r="N886" s="230"/>
      <c r="O886" s="206"/>
    </row>
    <row r="887" spans="1:15" s="45" customFormat="1" x14ac:dyDescent="0.25">
      <c r="A887" s="189" t="s">
        <v>896</v>
      </c>
      <c r="B887" s="237" t="s">
        <v>1248</v>
      </c>
      <c r="C887" s="252" t="s">
        <v>2830</v>
      </c>
      <c r="D887" s="41">
        <v>43.251600000000003</v>
      </c>
      <c r="E887" s="41">
        <v>3.2202000000000002</v>
      </c>
      <c r="F887" s="575">
        <f t="shared" si="33"/>
        <v>4296</v>
      </c>
      <c r="G887" s="88">
        <v>4346</v>
      </c>
      <c r="H887" s="88">
        <v>4246</v>
      </c>
      <c r="I887" s="193" t="s">
        <v>3003</v>
      </c>
      <c r="J887" s="598" t="s">
        <v>69</v>
      </c>
      <c r="K887" s="295" t="s">
        <v>2943</v>
      </c>
      <c r="L887" s="17" t="s">
        <v>69</v>
      </c>
      <c r="M887" s="600" t="s">
        <v>3004</v>
      </c>
      <c r="N887" s="209"/>
      <c r="O887" s="207"/>
    </row>
    <row r="888" spans="1:15" s="45" customFormat="1" x14ac:dyDescent="0.25">
      <c r="A888" s="189" t="s">
        <v>896</v>
      </c>
      <c r="B888" s="237" t="s">
        <v>1248</v>
      </c>
      <c r="C888" s="252" t="s">
        <v>2830</v>
      </c>
      <c r="D888" s="41">
        <v>43.251600000000003</v>
      </c>
      <c r="E888" s="41">
        <v>3.2202000000000002</v>
      </c>
      <c r="F888" s="575">
        <f t="shared" si="33"/>
        <v>4296</v>
      </c>
      <c r="G888" s="88">
        <v>4346</v>
      </c>
      <c r="H888" s="88">
        <v>4246</v>
      </c>
      <c r="I888" s="193" t="s">
        <v>189</v>
      </c>
      <c r="J888" s="598" t="s">
        <v>69</v>
      </c>
      <c r="K888" s="295" t="s">
        <v>2943</v>
      </c>
      <c r="L888" s="17" t="s">
        <v>69</v>
      </c>
      <c r="M888" s="600" t="s">
        <v>3005</v>
      </c>
      <c r="N888" s="209"/>
      <c r="O888" s="207"/>
    </row>
    <row r="889" spans="1:15" s="45" customFormat="1" ht="15.75" thickBot="1" x14ac:dyDescent="0.3">
      <c r="A889" s="189" t="s">
        <v>896</v>
      </c>
      <c r="B889" s="237" t="s">
        <v>2964</v>
      </c>
      <c r="C889" s="252" t="s">
        <v>2830</v>
      </c>
      <c r="D889" s="576">
        <v>43.218170000000001</v>
      </c>
      <c r="E889" s="577">
        <v>2.4127000000000001</v>
      </c>
      <c r="F889" s="575">
        <f t="shared" si="33"/>
        <v>4104</v>
      </c>
      <c r="G889" s="88">
        <v>4230</v>
      </c>
      <c r="H889" s="88">
        <v>3978</v>
      </c>
      <c r="I889" s="199" t="s">
        <v>82</v>
      </c>
      <c r="J889" s="622" t="s">
        <v>69</v>
      </c>
      <c r="K889" s="295" t="s">
        <v>2943</v>
      </c>
      <c r="L889" s="622" t="s">
        <v>69</v>
      </c>
      <c r="M889" s="619" t="s">
        <v>2948</v>
      </c>
      <c r="N889" s="209"/>
      <c r="O889" s="207"/>
    </row>
    <row r="890" spans="1:15" s="45" customFormat="1" ht="15.75" thickBot="1" x14ac:dyDescent="0.3">
      <c r="A890" s="189" t="s">
        <v>896</v>
      </c>
      <c r="B890" s="237" t="s">
        <v>2964</v>
      </c>
      <c r="C890" s="252" t="s">
        <v>2830</v>
      </c>
      <c r="D890" s="576">
        <v>43.218170000000001</v>
      </c>
      <c r="E890" s="577">
        <v>2.4127000000000001</v>
      </c>
      <c r="F890" s="575">
        <f t="shared" si="33"/>
        <v>4089</v>
      </c>
      <c r="G890" s="88">
        <v>4222</v>
      </c>
      <c r="H890" s="88">
        <v>3956</v>
      </c>
      <c r="I890" s="198" t="s">
        <v>2367</v>
      </c>
      <c r="J890" s="622" t="s">
        <v>2967</v>
      </c>
      <c r="K890" s="295" t="s">
        <v>2943</v>
      </c>
      <c r="L890" s="622" t="s">
        <v>14</v>
      </c>
      <c r="M890" s="619" t="s">
        <v>2949</v>
      </c>
      <c r="N890" s="209"/>
      <c r="O890" s="207"/>
    </row>
    <row r="891" spans="1:15" s="45" customFormat="1" ht="15.75" thickBot="1" x14ac:dyDescent="0.3">
      <c r="A891" s="189" t="s">
        <v>896</v>
      </c>
      <c r="B891" s="237" t="s">
        <v>2964</v>
      </c>
      <c r="C891" s="252" t="s">
        <v>2830</v>
      </c>
      <c r="D891" s="576">
        <v>43.218170000000001</v>
      </c>
      <c r="E891" s="577">
        <v>2.4127000000000001</v>
      </c>
      <c r="F891" s="575">
        <f t="shared" si="33"/>
        <v>4024</v>
      </c>
      <c r="G891" s="88">
        <v>4224</v>
      </c>
      <c r="H891" s="88">
        <v>3824</v>
      </c>
      <c r="I891" s="198" t="s">
        <v>168</v>
      </c>
      <c r="J891" s="622" t="s">
        <v>69</v>
      </c>
      <c r="K891" s="295" t="s">
        <v>2943</v>
      </c>
      <c r="L891" s="622" t="s">
        <v>69</v>
      </c>
      <c r="M891" s="619" t="s">
        <v>2950</v>
      </c>
      <c r="N891" s="209"/>
      <c r="O891" s="207"/>
    </row>
    <row r="892" spans="1:15" s="45" customFormat="1" x14ac:dyDescent="0.25">
      <c r="A892" s="189" t="s">
        <v>896</v>
      </c>
      <c r="B892" s="237" t="s">
        <v>2964</v>
      </c>
      <c r="C892" s="252" t="s">
        <v>2830</v>
      </c>
      <c r="D892" s="576">
        <v>43.218170000000001</v>
      </c>
      <c r="E892" s="577">
        <v>2.4127000000000001</v>
      </c>
      <c r="F892" s="575">
        <f t="shared" si="33"/>
        <v>3920</v>
      </c>
      <c r="G892" s="88">
        <v>4037</v>
      </c>
      <c r="H892" s="88">
        <v>3803</v>
      </c>
      <c r="I892" s="199" t="s">
        <v>1106</v>
      </c>
      <c r="J892" s="622" t="s">
        <v>69</v>
      </c>
      <c r="K892" s="295" t="s">
        <v>2943</v>
      </c>
      <c r="L892" s="622" t="s">
        <v>2</v>
      </c>
      <c r="M892" s="619" t="s">
        <v>2951</v>
      </c>
      <c r="N892" s="209"/>
      <c r="O892" s="207"/>
    </row>
    <row r="893" spans="1:15" s="45" customFormat="1" x14ac:dyDescent="0.25">
      <c r="A893" s="189" t="s">
        <v>896</v>
      </c>
      <c r="B893" s="237" t="s">
        <v>2964</v>
      </c>
      <c r="C893" s="252" t="s">
        <v>2830</v>
      </c>
      <c r="D893" s="576">
        <v>43.218170000000001</v>
      </c>
      <c r="E893" s="577">
        <v>2.4127000000000001</v>
      </c>
      <c r="F893" s="575">
        <f t="shared" si="33"/>
        <v>3900</v>
      </c>
      <c r="G893" s="88">
        <v>4000</v>
      </c>
      <c r="H893" s="88">
        <v>3800</v>
      </c>
      <c r="I893" s="199" t="s">
        <v>1106</v>
      </c>
      <c r="J893" s="622" t="s">
        <v>69</v>
      </c>
      <c r="K893" s="295" t="s">
        <v>2943</v>
      </c>
      <c r="L893" s="622" t="s">
        <v>69</v>
      </c>
      <c r="M893" s="619" t="s">
        <v>2952</v>
      </c>
      <c r="N893" s="209"/>
      <c r="O893" s="207"/>
    </row>
    <row r="894" spans="1:15" s="45" customFormat="1" x14ac:dyDescent="0.25">
      <c r="A894" s="189" t="s">
        <v>896</v>
      </c>
      <c r="B894" s="237" t="s">
        <v>2964</v>
      </c>
      <c r="C894" s="252" t="s">
        <v>2830</v>
      </c>
      <c r="D894" s="576">
        <v>43.218170000000001</v>
      </c>
      <c r="E894" s="577">
        <v>2.4127000000000001</v>
      </c>
      <c r="F894" s="575">
        <f t="shared" si="33"/>
        <v>4100</v>
      </c>
      <c r="G894" s="88">
        <v>4300</v>
      </c>
      <c r="H894" s="88">
        <v>3900</v>
      </c>
      <c r="I894" s="199" t="s">
        <v>912</v>
      </c>
      <c r="J894" s="622" t="s">
        <v>1063</v>
      </c>
      <c r="K894" s="295" t="s">
        <v>2943</v>
      </c>
      <c r="L894" s="622" t="s">
        <v>14</v>
      </c>
      <c r="M894" s="619" t="s">
        <v>2953</v>
      </c>
      <c r="N894" s="209"/>
      <c r="O894" s="207"/>
    </row>
    <row r="895" spans="1:15" s="45" customFormat="1" ht="15.75" thickBot="1" x14ac:dyDescent="0.3">
      <c r="A895" s="189" t="s">
        <v>896</v>
      </c>
      <c r="B895" s="237" t="s">
        <v>2964</v>
      </c>
      <c r="C895" s="252" t="s">
        <v>2830</v>
      </c>
      <c r="D895" s="576">
        <v>43.218170000000001</v>
      </c>
      <c r="E895" s="577">
        <v>2.4127000000000001</v>
      </c>
      <c r="F895" s="575">
        <f t="shared" ref="F895:F944" si="34">AVERAGE(G895:H895)</f>
        <v>4100</v>
      </c>
      <c r="G895" s="88">
        <v>4300</v>
      </c>
      <c r="H895" s="88">
        <v>3900</v>
      </c>
      <c r="I895" s="199" t="s">
        <v>1062</v>
      </c>
      <c r="J895" s="622" t="s">
        <v>69</v>
      </c>
      <c r="K895" s="295" t="s">
        <v>2943</v>
      </c>
      <c r="L895" s="622" t="s">
        <v>2</v>
      </c>
      <c r="M895" s="619" t="s">
        <v>2954</v>
      </c>
      <c r="N895" s="209"/>
      <c r="O895" s="207"/>
    </row>
    <row r="896" spans="1:15" s="45" customFormat="1" ht="15.75" thickBot="1" x14ac:dyDescent="0.3">
      <c r="A896" s="189" t="s">
        <v>896</v>
      </c>
      <c r="B896" s="237" t="s">
        <v>2964</v>
      </c>
      <c r="C896" s="252" t="s">
        <v>2830</v>
      </c>
      <c r="D896" s="576">
        <v>43.218170000000001</v>
      </c>
      <c r="E896" s="577">
        <v>2.4127000000000001</v>
      </c>
      <c r="F896" s="575">
        <f t="shared" si="34"/>
        <v>4100</v>
      </c>
      <c r="G896" s="88">
        <v>4300</v>
      </c>
      <c r="H896" s="88">
        <v>3900</v>
      </c>
      <c r="I896" s="198" t="s">
        <v>1245</v>
      </c>
      <c r="J896" s="622" t="s">
        <v>2967</v>
      </c>
      <c r="K896" s="295" t="s">
        <v>2943</v>
      </c>
      <c r="L896" s="622" t="s">
        <v>14</v>
      </c>
      <c r="M896" s="619" t="s">
        <v>2955</v>
      </c>
      <c r="N896" s="209"/>
      <c r="O896" s="207"/>
    </row>
    <row r="897" spans="1:15" s="45" customFormat="1" x14ac:dyDescent="0.25">
      <c r="A897" s="189" t="s">
        <v>896</v>
      </c>
      <c r="B897" s="237" t="s">
        <v>2964</v>
      </c>
      <c r="C897" s="252" t="s">
        <v>2830</v>
      </c>
      <c r="D897" s="576">
        <v>43.218170000000001</v>
      </c>
      <c r="E897" s="577">
        <v>2.4127000000000001</v>
      </c>
      <c r="F897" s="575">
        <f t="shared" si="34"/>
        <v>4100</v>
      </c>
      <c r="G897" s="88">
        <v>4300</v>
      </c>
      <c r="H897" s="88">
        <v>3900</v>
      </c>
      <c r="I897" s="199" t="s">
        <v>889</v>
      </c>
      <c r="J897" s="622" t="s">
        <v>2968</v>
      </c>
      <c r="K897" s="295" t="s">
        <v>2943</v>
      </c>
      <c r="L897" s="622" t="s">
        <v>14</v>
      </c>
      <c r="M897" s="619" t="s">
        <v>2956</v>
      </c>
      <c r="N897" s="209"/>
      <c r="O897" s="207"/>
    </row>
    <row r="898" spans="1:15" s="45" customFormat="1" x14ac:dyDescent="0.25">
      <c r="A898" s="189" t="s">
        <v>896</v>
      </c>
      <c r="B898" s="237" t="s">
        <v>2964</v>
      </c>
      <c r="C898" s="252" t="s">
        <v>2830</v>
      </c>
      <c r="D898" s="576">
        <v>43.218170000000001</v>
      </c>
      <c r="E898" s="577">
        <v>2.4127000000000001</v>
      </c>
      <c r="F898" s="575">
        <f t="shared" si="34"/>
        <v>4100</v>
      </c>
      <c r="G898" s="88">
        <v>4300</v>
      </c>
      <c r="H898" s="88">
        <v>3900</v>
      </c>
      <c r="I898" s="199" t="s">
        <v>81</v>
      </c>
      <c r="J898" s="61" t="s">
        <v>900</v>
      </c>
      <c r="K898" s="295" t="s">
        <v>2943</v>
      </c>
      <c r="L898" s="622" t="s">
        <v>14</v>
      </c>
      <c r="M898" s="619" t="s">
        <v>2957</v>
      </c>
      <c r="N898" s="209"/>
      <c r="O898" s="207"/>
    </row>
    <row r="899" spans="1:15" s="45" customFormat="1" x14ac:dyDescent="0.25">
      <c r="A899" s="189" t="s">
        <v>896</v>
      </c>
      <c r="B899" s="237" t="s">
        <v>2964</v>
      </c>
      <c r="C899" s="252" t="s">
        <v>2830</v>
      </c>
      <c r="D899" s="576">
        <v>43.218170000000001</v>
      </c>
      <c r="E899" s="577">
        <v>2.4127000000000001</v>
      </c>
      <c r="F899" s="575">
        <f t="shared" si="34"/>
        <v>4100</v>
      </c>
      <c r="G899" s="88">
        <v>4300</v>
      </c>
      <c r="H899" s="88">
        <v>3900</v>
      </c>
      <c r="I899" s="199" t="s">
        <v>2490</v>
      </c>
      <c r="J899" s="622" t="s">
        <v>69</v>
      </c>
      <c r="K899" s="295" t="s">
        <v>2943</v>
      </c>
      <c r="L899" s="622" t="s">
        <v>69</v>
      </c>
      <c r="M899" s="619" t="s">
        <v>2958</v>
      </c>
      <c r="N899" s="209"/>
      <c r="O899" s="207"/>
    </row>
    <row r="900" spans="1:15" s="45" customFormat="1" ht="15.75" thickBot="1" x14ac:dyDescent="0.3">
      <c r="A900" s="189" t="s">
        <v>896</v>
      </c>
      <c r="B900" s="237" t="s">
        <v>2964</v>
      </c>
      <c r="C900" s="252" t="s">
        <v>2830</v>
      </c>
      <c r="D900" s="576">
        <v>43.218170000000001</v>
      </c>
      <c r="E900" s="577">
        <v>2.4127000000000001</v>
      </c>
      <c r="F900" s="575">
        <f t="shared" si="34"/>
        <v>4181.5</v>
      </c>
      <c r="G900" s="88">
        <v>4315</v>
      </c>
      <c r="H900" s="88">
        <v>4048</v>
      </c>
      <c r="I900" s="199" t="s">
        <v>1192</v>
      </c>
      <c r="J900" s="61" t="s">
        <v>2924</v>
      </c>
      <c r="K900" s="295" t="s">
        <v>2943</v>
      </c>
      <c r="L900" s="622" t="s">
        <v>14</v>
      </c>
      <c r="M900" s="619" t="s">
        <v>2959</v>
      </c>
      <c r="N900" s="209"/>
      <c r="O900" s="207"/>
    </row>
    <row r="901" spans="1:15" s="45" customFormat="1" ht="15.75" thickBot="1" x14ac:dyDescent="0.3">
      <c r="A901" s="189" t="s">
        <v>896</v>
      </c>
      <c r="B901" s="237" t="s">
        <v>2964</v>
      </c>
      <c r="C901" s="252" t="s">
        <v>2830</v>
      </c>
      <c r="D901" s="576">
        <v>43.218170000000001</v>
      </c>
      <c r="E901" s="577">
        <v>2.4127000000000001</v>
      </c>
      <c r="F901" s="575">
        <f t="shared" si="34"/>
        <v>4100</v>
      </c>
      <c r="G901" s="88">
        <v>4300</v>
      </c>
      <c r="H901" s="88">
        <v>3900</v>
      </c>
      <c r="I901" s="198" t="s">
        <v>349</v>
      </c>
      <c r="J901" s="622" t="s">
        <v>2967</v>
      </c>
      <c r="K901" s="295" t="s">
        <v>2943</v>
      </c>
      <c r="L901" s="622" t="s">
        <v>14</v>
      </c>
      <c r="M901" s="619" t="s">
        <v>2960</v>
      </c>
      <c r="N901" s="209"/>
      <c r="O901" s="207"/>
    </row>
    <row r="902" spans="1:15" s="45" customFormat="1" x14ac:dyDescent="0.25">
      <c r="A902" s="189" t="s">
        <v>896</v>
      </c>
      <c r="B902" s="237" t="s">
        <v>2964</v>
      </c>
      <c r="C902" s="252" t="s">
        <v>2830</v>
      </c>
      <c r="D902" s="576">
        <v>43.218170000000001</v>
      </c>
      <c r="E902" s="577">
        <v>2.4127000000000001</v>
      </c>
      <c r="F902" s="575">
        <f t="shared" si="34"/>
        <v>3826.5</v>
      </c>
      <c r="G902" s="88">
        <v>3943</v>
      </c>
      <c r="H902" s="88">
        <v>3710</v>
      </c>
      <c r="I902" s="199" t="s">
        <v>1250</v>
      </c>
      <c r="J902" s="61" t="s">
        <v>2969</v>
      </c>
      <c r="K902" s="295" t="s">
        <v>2943</v>
      </c>
      <c r="L902" s="622" t="s">
        <v>14</v>
      </c>
      <c r="M902" s="619" t="s">
        <v>2961</v>
      </c>
      <c r="N902" s="209"/>
      <c r="O902" s="207"/>
    </row>
    <row r="903" spans="1:15" s="45" customFormat="1" ht="15.75" thickBot="1" x14ac:dyDescent="0.3">
      <c r="A903" s="189" t="s">
        <v>896</v>
      </c>
      <c r="B903" s="237" t="s">
        <v>2964</v>
      </c>
      <c r="C903" s="252" t="s">
        <v>2830</v>
      </c>
      <c r="D903" s="576">
        <v>43.218170000000001</v>
      </c>
      <c r="E903" s="577">
        <v>2.4127000000000001</v>
      </c>
      <c r="F903" s="575">
        <f t="shared" si="34"/>
        <v>3803.5</v>
      </c>
      <c r="G903" s="88">
        <v>3941</v>
      </c>
      <c r="H903" s="88">
        <v>3666</v>
      </c>
      <c r="I903" s="199" t="s">
        <v>452</v>
      </c>
      <c r="J903" s="61" t="s">
        <v>900</v>
      </c>
      <c r="K903" s="295" t="s">
        <v>2943</v>
      </c>
      <c r="L903" s="622" t="s">
        <v>14</v>
      </c>
      <c r="M903" s="619" t="s">
        <v>2962</v>
      </c>
      <c r="N903" s="209"/>
      <c r="O903" s="207"/>
    </row>
    <row r="904" spans="1:15" s="45" customFormat="1" ht="15.75" thickBot="1" x14ac:dyDescent="0.3">
      <c r="A904" s="189" t="s">
        <v>896</v>
      </c>
      <c r="B904" s="237" t="s">
        <v>2964</v>
      </c>
      <c r="C904" s="252" t="s">
        <v>2830</v>
      </c>
      <c r="D904" s="576">
        <v>43.218170000000001</v>
      </c>
      <c r="E904" s="577">
        <v>2.4127000000000001</v>
      </c>
      <c r="F904" s="575">
        <f t="shared" si="34"/>
        <v>3792</v>
      </c>
      <c r="G904" s="88">
        <v>3930</v>
      </c>
      <c r="H904" s="88">
        <v>3654</v>
      </c>
      <c r="I904" s="198" t="s">
        <v>83</v>
      </c>
      <c r="J904" s="622" t="s">
        <v>69</v>
      </c>
      <c r="K904" s="295" t="s">
        <v>2943</v>
      </c>
      <c r="L904" s="622" t="s">
        <v>69</v>
      </c>
      <c r="M904" s="619" t="s">
        <v>2963</v>
      </c>
      <c r="N904" s="209"/>
      <c r="O904" s="207"/>
    </row>
    <row r="905" spans="1:15" s="45" customFormat="1" x14ac:dyDescent="0.25">
      <c r="A905" s="189" t="s">
        <v>896</v>
      </c>
      <c r="B905" s="237" t="s">
        <v>2970</v>
      </c>
      <c r="C905" s="252" t="s">
        <v>2830</v>
      </c>
      <c r="D905" s="578">
        <v>43.321899999999999</v>
      </c>
      <c r="E905" s="577">
        <v>1.204</v>
      </c>
      <c r="F905" s="575">
        <f t="shared" si="34"/>
        <v>4125</v>
      </c>
      <c r="G905" s="88">
        <v>4260</v>
      </c>
      <c r="H905" s="88">
        <v>3990</v>
      </c>
      <c r="I905" s="199" t="s">
        <v>1377</v>
      </c>
      <c r="J905" s="622" t="s">
        <v>69</v>
      </c>
      <c r="K905" s="295" t="s">
        <v>2943</v>
      </c>
      <c r="L905" s="17" t="s">
        <v>69</v>
      </c>
      <c r="M905" s="619" t="s">
        <v>2971</v>
      </c>
      <c r="N905" s="209"/>
      <c r="O905" s="206"/>
    </row>
    <row r="906" spans="1:15" s="45" customFormat="1" x14ac:dyDescent="0.25">
      <c r="A906" s="189" t="s">
        <v>896</v>
      </c>
      <c r="B906" s="237" t="s">
        <v>2970</v>
      </c>
      <c r="C906" s="252" t="s">
        <v>2830</v>
      </c>
      <c r="D906" s="578">
        <v>43.321899999999999</v>
      </c>
      <c r="E906" s="577">
        <v>1.204</v>
      </c>
      <c r="F906" s="575">
        <f t="shared" si="34"/>
        <v>4183</v>
      </c>
      <c r="G906" s="88">
        <v>4314</v>
      </c>
      <c r="H906" s="88">
        <v>4052</v>
      </c>
      <c r="I906" s="199" t="s">
        <v>559</v>
      </c>
      <c r="J906" s="61" t="s">
        <v>2977</v>
      </c>
      <c r="K906" s="295" t="s">
        <v>2943</v>
      </c>
      <c r="L906" s="17" t="s">
        <v>14</v>
      </c>
      <c r="M906" s="619" t="s">
        <v>2972</v>
      </c>
      <c r="N906" s="209"/>
      <c r="O906" s="206"/>
    </row>
    <row r="907" spans="1:15" s="45" customFormat="1" x14ac:dyDescent="0.25">
      <c r="A907" s="189" t="s">
        <v>896</v>
      </c>
      <c r="B907" s="237" t="s">
        <v>2970</v>
      </c>
      <c r="C907" s="252" t="s">
        <v>2830</v>
      </c>
      <c r="D907" s="578">
        <v>43.321899999999999</v>
      </c>
      <c r="E907" s="577">
        <v>1.204</v>
      </c>
      <c r="F907" s="575">
        <f t="shared" si="34"/>
        <v>4100</v>
      </c>
      <c r="G907" s="88">
        <v>4230</v>
      </c>
      <c r="H907" s="88">
        <v>3970</v>
      </c>
      <c r="I907" s="199" t="s">
        <v>2978</v>
      </c>
      <c r="J907" s="622" t="s">
        <v>69</v>
      </c>
      <c r="K907" s="295" t="s">
        <v>2943</v>
      </c>
      <c r="L907" s="17" t="s">
        <v>69</v>
      </c>
      <c r="M907" s="619" t="s">
        <v>2973</v>
      </c>
      <c r="N907" s="209"/>
      <c r="O907" s="206"/>
    </row>
    <row r="908" spans="1:15" s="45" customFormat="1" ht="15.75" thickBot="1" x14ac:dyDescent="0.3">
      <c r="A908" s="189" t="s">
        <v>896</v>
      </c>
      <c r="B908" s="237" t="s">
        <v>2970</v>
      </c>
      <c r="C908" s="252" t="s">
        <v>2830</v>
      </c>
      <c r="D908" s="578">
        <v>43.321899999999999</v>
      </c>
      <c r="E908" s="577">
        <v>1.204</v>
      </c>
      <c r="F908" s="575">
        <f t="shared" si="34"/>
        <v>4150</v>
      </c>
      <c r="G908" s="88">
        <v>4260</v>
      </c>
      <c r="H908" s="88">
        <v>4040</v>
      </c>
      <c r="I908" s="199" t="s">
        <v>189</v>
      </c>
      <c r="J908" s="622" t="s">
        <v>69</v>
      </c>
      <c r="K908" s="295" t="s">
        <v>2943</v>
      </c>
      <c r="L908" s="17" t="s">
        <v>69</v>
      </c>
      <c r="M908" s="619" t="s">
        <v>2974</v>
      </c>
      <c r="N908" s="209"/>
      <c r="O908" s="206"/>
    </row>
    <row r="909" spans="1:15" s="45" customFormat="1" ht="15.75" thickBot="1" x14ac:dyDescent="0.3">
      <c r="A909" s="189" t="s">
        <v>896</v>
      </c>
      <c r="B909" s="237" t="s">
        <v>2970</v>
      </c>
      <c r="C909" s="252" t="s">
        <v>2830</v>
      </c>
      <c r="D909" s="578">
        <v>43.321899999999999</v>
      </c>
      <c r="E909" s="577">
        <v>1.204</v>
      </c>
      <c r="F909" s="575">
        <f t="shared" si="34"/>
        <v>4296.5</v>
      </c>
      <c r="G909" s="88">
        <v>4351</v>
      </c>
      <c r="H909" s="88">
        <v>4242</v>
      </c>
      <c r="I909" s="198" t="s">
        <v>669</v>
      </c>
      <c r="J909" s="61" t="s">
        <v>900</v>
      </c>
      <c r="K909" s="295" t="s">
        <v>2943</v>
      </c>
      <c r="L909" s="17" t="s">
        <v>14</v>
      </c>
      <c r="M909" s="619" t="s">
        <v>2975</v>
      </c>
      <c r="N909" s="209"/>
      <c r="O909" s="206"/>
    </row>
    <row r="910" spans="1:15" s="45" customFormat="1" x14ac:dyDescent="0.25">
      <c r="A910" s="189" t="s">
        <v>896</v>
      </c>
      <c r="B910" s="237" t="s">
        <v>2970</v>
      </c>
      <c r="C910" s="252" t="s">
        <v>2830</v>
      </c>
      <c r="D910" s="578">
        <v>43.321899999999999</v>
      </c>
      <c r="E910" s="577">
        <v>1.204</v>
      </c>
      <c r="F910" s="575">
        <f t="shared" si="34"/>
        <v>4258</v>
      </c>
      <c r="G910" s="88">
        <v>4339</v>
      </c>
      <c r="H910" s="88">
        <v>4177</v>
      </c>
      <c r="I910" s="199" t="s">
        <v>153</v>
      </c>
      <c r="J910" s="622" t="s">
        <v>69</v>
      </c>
      <c r="K910" s="295" t="s">
        <v>2943</v>
      </c>
      <c r="L910" s="17" t="s">
        <v>69</v>
      </c>
      <c r="M910" s="619" t="s">
        <v>2976</v>
      </c>
      <c r="N910" s="209"/>
      <c r="O910" s="206"/>
    </row>
    <row r="911" spans="1:15" s="45" customFormat="1" x14ac:dyDescent="0.25">
      <c r="A911" s="189" t="s">
        <v>896</v>
      </c>
      <c r="B911" s="237" t="s">
        <v>2979</v>
      </c>
      <c r="C911" s="252" t="s">
        <v>2830</v>
      </c>
      <c r="D911" s="578">
        <v>43.312899999999999</v>
      </c>
      <c r="E911" s="577">
        <v>1.2033</v>
      </c>
      <c r="F911" s="575">
        <f t="shared" si="34"/>
        <v>3900</v>
      </c>
      <c r="G911" s="88">
        <v>4100</v>
      </c>
      <c r="H911" s="88">
        <v>3700</v>
      </c>
      <c r="I911" s="199" t="s">
        <v>1250</v>
      </c>
      <c r="J911" s="61" t="s">
        <v>900</v>
      </c>
      <c r="K911" s="295" t="s">
        <v>2943</v>
      </c>
      <c r="L911" s="17" t="s">
        <v>14</v>
      </c>
      <c r="M911" s="619" t="s">
        <v>2981</v>
      </c>
      <c r="N911" s="209"/>
      <c r="O911" s="206"/>
    </row>
    <row r="912" spans="1:15" s="45" customFormat="1" x14ac:dyDescent="0.25">
      <c r="A912" s="189" t="s">
        <v>896</v>
      </c>
      <c r="B912" s="237" t="s">
        <v>2979</v>
      </c>
      <c r="C912" s="252" t="s">
        <v>2830</v>
      </c>
      <c r="D912" s="578">
        <v>43.312899999999999</v>
      </c>
      <c r="E912" s="577">
        <v>1.2033</v>
      </c>
      <c r="F912" s="575">
        <f t="shared" si="34"/>
        <v>4187.5</v>
      </c>
      <c r="G912" s="88">
        <v>4322</v>
      </c>
      <c r="H912" s="88">
        <v>4053</v>
      </c>
      <c r="I912" s="199" t="s">
        <v>2980</v>
      </c>
      <c r="J912" s="622" t="s">
        <v>69</v>
      </c>
      <c r="K912" s="295" t="s">
        <v>2943</v>
      </c>
      <c r="L912" s="17" t="s">
        <v>69</v>
      </c>
      <c r="M912" s="619" t="s">
        <v>2982</v>
      </c>
      <c r="N912" s="209"/>
      <c r="O912" s="206"/>
    </row>
    <row r="913" spans="1:15" s="45" customFormat="1" x14ac:dyDescent="0.25">
      <c r="A913" s="189" t="s">
        <v>896</v>
      </c>
      <c r="B913" s="237" t="s">
        <v>2979</v>
      </c>
      <c r="C913" s="252" t="s">
        <v>2830</v>
      </c>
      <c r="D913" s="578">
        <v>43.312899999999999</v>
      </c>
      <c r="E913" s="577">
        <v>1.2033</v>
      </c>
      <c r="F913" s="575">
        <f t="shared" si="34"/>
        <v>3924</v>
      </c>
      <c r="G913" s="88">
        <v>4046</v>
      </c>
      <c r="H913" s="88">
        <v>3802</v>
      </c>
      <c r="I913" s="199" t="s">
        <v>1200</v>
      </c>
      <c r="J913" s="622" t="s">
        <v>69</v>
      </c>
      <c r="K913" s="295" t="s">
        <v>2943</v>
      </c>
      <c r="L913" s="17" t="s">
        <v>69</v>
      </c>
      <c r="M913" s="619" t="s">
        <v>2983</v>
      </c>
      <c r="N913" s="209"/>
      <c r="O913" s="206"/>
    </row>
    <row r="914" spans="1:15" s="45" customFormat="1" ht="15.75" thickBot="1" x14ac:dyDescent="0.3">
      <c r="A914" s="189" t="s">
        <v>896</v>
      </c>
      <c r="B914" s="237" t="s">
        <v>2987</v>
      </c>
      <c r="C914" s="252" t="s">
        <v>2830</v>
      </c>
      <c r="D914" s="578">
        <v>43.312899999999999</v>
      </c>
      <c r="E914" s="577">
        <v>1.2033</v>
      </c>
      <c r="F914" s="575">
        <f t="shared" si="34"/>
        <v>4260</v>
      </c>
      <c r="G914" s="88">
        <v>4340</v>
      </c>
      <c r="H914" s="88">
        <v>4180</v>
      </c>
      <c r="I914" s="199" t="s">
        <v>1062</v>
      </c>
      <c r="J914" s="598" t="s">
        <v>69</v>
      </c>
      <c r="K914" s="295" t="s">
        <v>2943</v>
      </c>
      <c r="L914" s="17" t="s">
        <v>69</v>
      </c>
      <c r="M914" s="619" t="s">
        <v>2984</v>
      </c>
      <c r="N914" s="209"/>
      <c r="O914" s="214"/>
    </row>
    <row r="915" spans="1:15" s="45" customFormat="1" ht="15.75" thickBot="1" x14ac:dyDescent="0.3">
      <c r="A915" s="189" t="s">
        <v>896</v>
      </c>
      <c r="B915" s="237" t="s">
        <v>2987</v>
      </c>
      <c r="C915" s="252" t="s">
        <v>2830</v>
      </c>
      <c r="D915" s="578">
        <v>43.312899999999999</v>
      </c>
      <c r="E915" s="577">
        <v>1.2033</v>
      </c>
      <c r="F915" s="575">
        <f t="shared" si="34"/>
        <v>4255</v>
      </c>
      <c r="G915" s="88">
        <v>4338</v>
      </c>
      <c r="H915" s="88">
        <v>4172</v>
      </c>
      <c r="I915" s="198" t="s">
        <v>48</v>
      </c>
      <c r="J915" s="598" t="s">
        <v>69</v>
      </c>
      <c r="K915" s="295" t="s">
        <v>2943</v>
      </c>
      <c r="L915" s="17" t="s">
        <v>69</v>
      </c>
      <c r="M915" s="619" t="s">
        <v>2985</v>
      </c>
      <c r="N915" s="209"/>
      <c r="O915" s="206"/>
    </row>
    <row r="916" spans="1:15" s="45" customFormat="1" ht="15.75" thickBot="1" x14ac:dyDescent="0.3">
      <c r="A916" s="189" t="s">
        <v>896</v>
      </c>
      <c r="B916" s="237" t="s">
        <v>2987</v>
      </c>
      <c r="C916" s="252" t="s">
        <v>2830</v>
      </c>
      <c r="D916" s="578">
        <v>43.312899999999999</v>
      </c>
      <c r="E916" s="577">
        <v>1.2033</v>
      </c>
      <c r="F916" s="575">
        <f t="shared" si="34"/>
        <v>4206</v>
      </c>
      <c r="G916" s="88">
        <v>4336</v>
      </c>
      <c r="H916" s="88">
        <v>4076</v>
      </c>
      <c r="I916" s="199" t="s">
        <v>2494</v>
      </c>
      <c r="J916" s="598" t="s">
        <v>69</v>
      </c>
      <c r="K916" s="295" t="s">
        <v>2943</v>
      </c>
      <c r="L916" s="17" t="s">
        <v>69</v>
      </c>
      <c r="M916" s="619" t="s">
        <v>2986</v>
      </c>
      <c r="N916" s="209"/>
      <c r="O916" s="206"/>
    </row>
    <row r="917" spans="1:15" s="45" customFormat="1" ht="15.75" thickBot="1" x14ac:dyDescent="0.3">
      <c r="A917" s="189" t="s">
        <v>916</v>
      </c>
      <c r="B917" s="237" t="s">
        <v>897</v>
      </c>
      <c r="C917" s="252" t="s">
        <v>2830</v>
      </c>
      <c r="D917" s="41">
        <v>43.81</v>
      </c>
      <c r="E917" s="41">
        <v>7.51</v>
      </c>
      <c r="F917" s="116">
        <f t="shared" si="34"/>
        <v>5425</v>
      </c>
      <c r="G917" s="197">
        <v>5480</v>
      </c>
      <c r="H917" s="192">
        <v>5370</v>
      </c>
      <c r="I917" s="178" t="s">
        <v>536</v>
      </c>
      <c r="J917" s="40"/>
      <c r="K917" s="194" t="s">
        <v>4390</v>
      </c>
      <c r="L917" s="17" t="s">
        <v>2</v>
      </c>
      <c r="M917" s="108" t="s">
        <v>1239</v>
      </c>
      <c r="N917" s="230" t="s">
        <v>1240</v>
      </c>
      <c r="O917" s="206"/>
    </row>
    <row r="918" spans="1:15" s="45" customFormat="1" x14ac:dyDescent="0.25">
      <c r="A918" s="189" t="s">
        <v>916</v>
      </c>
      <c r="B918" s="237" t="s">
        <v>897</v>
      </c>
      <c r="C918" s="252" t="s">
        <v>2830</v>
      </c>
      <c r="D918" s="41">
        <v>43.81</v>
      </c>
      <c r="E918" s="41">
        <v>7.51</v>
      </c>
      <c r="F918" s="116">
        <f t="shared" si="34"/>
        <v>5408.5</v>
      </c>
      <c r="G918" s="197">
        <v>5480</v>
      </c>
      <c r="H918" s="323">
        <v>5337</v>
      </c>
      <c r="I918" s="76" t="s">
        <v>189</v>
      </c>
      <c r="J918" s="40" t="s">
        <v>900</v>
      </c>
      <c r="K918" s="194" t="s">
        <v>4390</v>
      </c>
      <c r="L918" s="17" t="s">
        <v>14</v>
      </c>
      <c r="M918" s="108" t="s">
        <v>898</v>
      </c>
      <c r="N918" s="230" t="s">
        <v>899</v>
      </c>
      <c r="O918" s="206"/>
    </row>
    <row r="919" spans="1:15" s="45" customFormat="1" x14ac:dyDescent="0.25">
      <c r="A919" s="189" t="s">
        <v>916</v>
      </c>
      <c r="B919" s="237" t="s">
        <v>897</v>
      </c>
      <c r="C919" s="252" t="s">
        <v>2830</v>
      </c>
      <c r="D919" s="41">
        <v>43.81</v>
      </c>
      <c r="E919" s="41">
        <v>7.51</v>
      </c>
      <c r="F919" s="116">
        <f t="shared" si="34"/>
        <v>5420</v>
      </c>
      <c r="G919" s="197">
        <v>5480</v>
      </c>
      <c r="H919" s="324">
        <v>5360</v>
      </c>
      <c r="I919" s="76" t="s">
        <v>493</v>
      </c>
      <c r="J919" s="40" t="s">
        <v>69</v>
      </c>
      <c r="K919" s="194" t="s">
        <v>4390</v>
      </c>
      <c r="L919" s="17" t="s">
        <v>2</v>
      </c>
      <c r="M919" s="108" t="s">
        <v>901</v>
      </c>
      <c r="N919" s="230" t="s">
        <v>901</v>
      </c>
      <c r="O919" s="206"/>
    </row>
    <row r="920" spans="1:15" s="45" customFormat="1" x14ac:dyDescent="0.25">
      <c r="A920" s="189" t="s">
        <v>916</v>
      </c>
      <c r="B920" s="237" t="s">
        <v>904</v>
      </c>
      <c r="C920" s="252" t="s">
        <v>2830</v>
      </c>
      <c r="D920" s="41">
        <v>43.7</v>
      </c>
      <c r="E920" s="41">
        <v>6.99</v>
      </c>
      <c r="F920" s="116">
        <f t="shared" si="34"/>
        <v>4804.5</v>
      </c>
      <c r="G920" s="197">
        <v>4896</v>
      </c>
      <c r="H920" s="192">
        <v>4713</v>
      </c>
      <c r="I920" s="76" t="s">
        <v>559</v>
      </c>
      <c r="J920" s="40" t="s">
        <v>905</v>
      </c>
      <c r="K920" s="194" t="s">
        <v>4391</v>
      </c>
      <c r="L920" s="17" t="s">
        <v>14</v>
      </c>
      <c r="M920" s="108" t="s">
        <v>902</v>
      </c>
      <c r="N920" s="230" t="s">
        <v>903</v>
      </c>
      <c r="O920" s="206"/>
    </row>
    <row r="921" spans="1:15" s="45" customFormat="1" x14ac:dyDescent="0.25">
      <c r="A921" s="189" t="s">
        <v>916</v>
      </c>
      <c r="B921" s="237" t="s">
        <v>904</v>
      </c>
      <c r="C921" s="252" t="s">
        <v>2830</v>
      </c>
      <c r="D921" s="41">
        <v>43.7</v>
      </c>
      <c r="E921" s="41">
        <v>6.99</v>
      </c>
      <c r="F921" s="116">
        <f t="shared" si="34"/>
        <v>4970</v>
      </c>
      <c r="G921" s="197">
        <v>5120</v>
      </c>
      <c r="H921" s="192">
        <v>4820</v>
      </c>
      <c r="I921" s="76" t="s">
        <v>838</v>
      </c>
      <c r="J921" s="40" t="s">
        <v>905</v>
      </c>
      <c r="K921" s="194" t="s">
        <v>4391</v>
      </c>
      <c r="L921" s="17" t="s">
        <v>14</v>
      </c>
      <c r="M921" s="108" t="s">
        <v>906</v>
      </c>
      <c r="N921" s="230" t="s">
        <v>907</v>
      </c>
      <c r="O921" s="206"/>
    </row>
    <row r="922" spans="1:15" s="45" customFormat="1" x14ac:dyDescent="0.25">
      <c r="A922" s="189" t="s">
        <v>916</v>
      </c>
      <c r="B922" s="237" t="s">
        <v>904</v>
      </c>
      <c r="C922" s="252" t="s">
        <v>2830</v>
      </c>
      <c r="D922" s="41">
        <v>43.7</v>
      </c>
      <c r="E922" s="41">
        <v>6.99</v>
      </c>
      <c r="F922" s="116">
        <f t="shared" si="34"/>
        <v>4889.5</v>
      </c>
      <c r="G922" s="197">
        <v>5032</v>
      </c>
      <c r="H922" s="192">
        <v>4747</v>
      </c>
      <c r="I922" s="76" t="s">
        <v>493</v>
      </c>
      <c r="J922" s="40" t="s">
        <v>69</v>
      </c>
      <c r="K922" s="194" t="s">
        <v>4391</v>
      </c>
      <c r="L922" s="17" t="s">
        <v>2</v>
      </c>
      <c r="M922" s="108" t="s">
        <v>908</v>
      </c>
      <c r="N922" s="230" t="s">
        <v>909</v>
      </c>
      <c r="O922" s="206"/>
    </row>
    <row r="923" spans="1:15" s="45" customFormat="1" ht="15.75" thickBot="1" x14ac:dyDescent="0.3">
      <c r="A923" s="189" t="s">
        <v>916</v>
      </c>
      <c r="B923" s="237" t="s">
        <v>904</v>
      </c>
      <c r="C923" s="252" t="s">
        <v>2830</v>
      </c>
      <c r="D923" s="41">
        <v>43.7</v>
      </c>
      <c r="E923" s="41">
        <v>6.99</v>
      </c>
      <c r="F923" s="116">
        <f t="shared" si="34"/>
        <v>4903.5</v>
      </c>
      <c r="G923" s="197">
        <v>5032</v>
      </c>
      <c r="H923" s="192">
        <v>4775</v>
      </c>
      <c r="I923" s="76" t="s">
        <v>912</v>
      </c>
      <c r="J923" s="40" t="s">
        <v>69</v>
      </c>
      <c r="K923" s="194" t="s">
        <v>4391</v>
      </c>
      <c r="L923" s="17" t="s">
        <v>2</v>
      </c>
      <c r="M923" s="108" t="s">
        <v>910</v>
      </c>
      <c r="N923" s="230" t="s">
        <v>911</v>
      </c>
      <c r="O923" s="206"/>
    </row>
    <row r="924" spans="1:15" s="45" customFormat="1" ht="15.75" thickBot="1" x14ac:dyDescent="0.3">
      <c r="A924" s="189" t="s">
        <v>916</v>
      </c>
      <c r="B924" s="237" t="s">
        <v>904</v>
      </c>
      <c r="C924" s="252" t="s">
        <v>2830</v>
      </c>
      <c r="D924" s="41">
        <v>43.7</v>
      </c>
      <c r="E924" s="41">
        <v>6.99</v>
      </c>
      <c r="F924" s="116">
        <f t="shared" si="34"/>
        <v>5174</v>
      </c>
      <c r="G924" s="197">
        <v>5369</v>
      </c>
      <c r="H924" s="192">
        <v>4979</v>
      </c>
      <c r="I924" s="178" t="s">
        <v>915</v>
      </c>
      <c r="J924" s="40" t="s">
        <v>420</v>
      </c>
      <c r="K924" s="194" t="s">
        <v>4391</v>
      </c>
      <c r="L924" s="17" t="s">
        <v>14</v>
      </c>
      <c r="M924" s="108" t="s">
        <v>913</v>
      </c>
      <c r="N924" s="230" t="s">
        <v>914</v>
      </c>
      <c r="O924" s="206"/>
    </row>
    <row r="925" spans="1:15" s="45" customFormat="1" x14ac:dyDescent="0.25">
      <c r="A925" s="579" t="s">
        <v>916</v>
      </c>
      <c r="B925" s="205" t="s">
        <v>3078</v>
      </c>
      <c r="C925" s="252" t="s">
        <v>2830</v>
      </c>
      <c r="D925" s="29">
        <v>46.15</v>
      </c>
      <c r="E925" s="29">
        <v>-0.48</v>
      </c>
      <c r="F925" s="116">
        <f t="shared" si="34"/>
        <v>4255.5</v>
      </c>
      <c r="G925" s="400">
        <v>4340</v>
      </c>
      <c r="H925" s="400">
        <v>4171</v>
      </c>
      <c r="I925" s="201" t="s">
        <v>503</v>
      </c>
      <c r="J925" s="398" t="s">
        <v>3086</v>
      </c>
      <c r="K925" s="417" t="s">
        <v>3011</v>
      </c>
      <c r="L925" s="14" t="s">
        <v>14</v>
      </c>
      <c r="M925" s="325" t="s">
        <v>3080</v>
      </c>
      <c r="N925" s="209" t="s">
        <v>3083</v>
      </c>
      <c r="O925" s="206"/>
    </row>
    <row r="926" spans="1:15" s="45" customFormat="1" x14ac:dyDescent="0.25">
      <c r="A926" s="579" t="s">
        <v>3009</v>
      </c>
      <c r="B926" s="205" t="s">
        <v>3078</v>
      </c>
      <c r="C926" s="252" t="s">
        <v>2830</v>
      </c>
      <c r="D926" s="29">
        <v>46.15</v>
      </c>
      <c r="E926" s="29">
        <v>-0.48</v>
      </c>
      <c r="F926" s="116">
        <f t="shared" si="34"/>
        <v>4255.5</v>
      </c>
      <c r="G926" s="400">
        <v>4340</v>
      </c>
      <c r="H926" s="400">
        <v>4171</v>
      </c>
      <c r="I926" s="201" t="s">
        <v>3</v>
      </c>
      <c r="J926" s="598" t="s">
        <v>69</v>
      </c>
      <c r="K926" s="417" t="s">
        <v>3011</v>
      </c>
      <c r="L926" s="14" t="s">
        <v>3079</v>
      </c>
      <c r="M926" s="325" t="s">
        <v>3081</v>
      </c>
      <c r="N926" s="209" t="s">
        <v>3084</v>
      </c>
      <c r="O926" s="205" t="s">
        <v>3087</v>
      </c>
    </row>
    <row r="927" spans="1:15" s="45" customFormat="1" x14ac:dyDescent="0.25">
      <c r="A927" s="579" t="s">
        <v>3015</v>
      </c>
      <c r="B927" s="205" t="s">
        <v>3078</v>
      </c>
      <c r="C927" s="252" t="s">
        <v>2830</v>
      </c>
      <c r="D927" s="29">
        <v>46.15</v>
      </c>
      <c r="E927" s="29">
        <v>-0.48</v>
      </c>
      <c r="F927" s="116">
        <f t="shared" si="34"/>
        <v>4255.5</v>
      </c>
      <c r="G927" s="400">
        <v>4340</v>
      </c>
      <c r="H927" s="400">
        <v>4171</v>
      </c>
      <c r="I927" s="201" t="s">
        <v>3</v>
      </c>
      <c r="J927" s="598" t="s">
        <v>69</v>
      </c>
      <c r="K927" s="417" t="s">
        <v>3011</v>
      </c>
      <c r="L927" s="14" t="s">
        <v>2</v>
      </c>
      <c r="M927" s="325" t="s">
        <v>3082</v>
      </c>
      <c r="N927" s="209" t="s">
        <v>3085</v>
      </c>
      <c r="O927" s="205" t="s">
        <v>3088</v>
      </c>
    </row>
    <row r="928" spans="1:15" s="45" customFormat="1" x14ac:dyDescent="0.25">
      <c r="A928" s="189" t="s">
        <v>2504</v>
      </c>
      <c r="B928" s="237" t="s">
        <v>2612</v>
      </c>
      <c r="C928" s="252" t="s">
        <v>2830</v>
      </c>
      <c r="D928" s="539">
        <v>43.323999999999998</v>
      </c>
      <c r="E928" s="539">
        <v>2.42</v>
      </c>
      <c r="F928" s="116">
        <f t="shared" si="34"/>
        <v>4594.5</v>
      </c>
      <c r="G928" s="396">
        <v>4686</v>
      </c>
      <c r="H928" s="396">
        <v>4503</v>
      </c>
      <c r="I928" s="200" t="s">
        <v>559</v>
      </c>
      <c r="J928" s="598" t="s">
        <v>69</v>
      </c>
      <c r="K928" s="194" t="s">
        <v>2613</v>
      </c>
      <c r="L928" s="17" t="s">
        <v>2</v>
      </c>
      <c r="M928" s="600" t="s">
        <v>2608</v>
      </c>
      <c r="N928" s="248" t="s">
        <v>2609</v>
      </c>
    </row>
    <row r="929" spans="1:15" s="45" customFormat="1" x14ac:dyDescent="0.25">
      <c r="A929" s="189" t="s">
        <v>2504</v>
      </c>
      <c r="B929" s="237" t="s">
        <v>2612</v>
      </c>
      <c r="C929" s="252" t="s">
        <v>2830</v>
      </c>
      <c r="D929" s="539">
        <v>43.323999999999998</v>
      </c>
      <c r="E929" s="539">
        <v>2.42</v>
      </c>
      <c r="F929" s="116">
        <f t="shared" si="34"/>
        <v>4591</v>
      </c>
      <c r="G929" s="88">
        <v>4687</v>
      </c>
      <c r="H929" s="88">
        <v>4495</v>
      </c>
      <c r="I929" s="200" t="s">
        <v>559</v>
      </c>
      <c r="J929" s="598" t="s">
        <v>69</v>
      </c>
      <c r="K929" s="194" t="s">
        <v>2613</v>
      </c>
      <c r="L929" s="17" t="s">
        <v>2</v>
      </c>
      <c r="M929" s="600" t="s">
        <v>2610</v>
      </c>
      <c r="N929" s="248" t="s">
        <v>2611</v>
      </c>
    </row>
    <row r="930" spans="1:15" s="45" customFormat="1" x14ac:dyDescent="0.25">
      <c r="A930" s="189" t="s">
        <v>4370</v>
      </c>
      <c r="B930" s="700" t="s">
        <v>4384</v>
      </c>
      <c r="C930" s="404" t="s">
        <v>2830</v>
      </c>
      <c r="D930" s="702">
        <v>43.19</v>
      </c>
      <c r="E930" s="702">
        <v>2.25</v>
      </c>
      <c r="F930" s="116">
        <f t="shared" si="34"/>
        <v>5175.5</v>
      </c>
      <c r="G930" s="88">
        <v>5299</v>
      </c>
      <c r="H930" s="88">
        <v>5052</v>
      </c>
      <c r="I930" s="704" t="s">
        <v>559</v>
      </c>
      <c r="J930" s="598" t="s">
        <v>69</v>
      </c>
      <c r="K930" s="706" t="s">
        <v>4390</v>
      </c>
      <c r="L930" s="17" t="s">
        <v>2</v>
      </c>
      <c r="M930" s="699" t="s">
        <v>4372</v>
      </c>
      <c r="N930" s="209"/>
      <c r="O930" s="61"/>
    </row>
    <row r="931" spans="1:15" s="45" customFormat="1" x14ac:dyDescent="0.25">
      <c r="A931" s="189" t="s">
        <v>4370</v>
      </c>
      <c r="B931" s="700" t="s">
        <v>4385</v>
      </c>
      <c r="C931" s="404" t="s">
        <v>2830</v>
      </c>
      <c r="D931" s="703">
        <v>43.93</v>
      </c>
      <c r="E931" s="703">
        <v>4.43</v>
      </c>
      <c r="F931" s="116">
        <f t="shared" si="34"/>
        <v>5190.5</v>
      </c>
      <c r="G931" s="88">
        <v>5309</v>
      </c>
      <c r="H931" s="88">
        <v>5072</v>
      </c>
      <c r="I931" s="705" t="s">
        <v>144</v>
      </c>
      <c r="J931" s="701" t="s">
        <v>2924</v>
      </c>
      <c r="K931" s="706" t="s">
        <v>4390</v>
      </c>
      <c r="L931" s="17" t="s">
        <v>14</v>
      </c>
      <c r="M931" s="699" t="s">
        <v>4373</v>
      </c>
      <c r="N931" s="209"/>
      <c r="O931" s="61"/>
    </row>
    <row r="932" spans="1:15" s="45" customFormat="1" ht="15.75" thickBot="1" x14ac:dyDescent="0.3">
      <c r="A932" s="189" t="s">
        <v>4370</v>
      </c>
      <c r="B932" s="700" t="s">
        <v>4385</v>
      </c>
      <c r="C932" s="404" t="s">
        <v>2830</v>
      </c>
      <c r="D932" s="703">
        <v>43.93</v>
      </c>
      <c r="E932" s="703">
        <v>4.43</v>
      </c>
      <c r="F932" s="116">
        <f t="shared" si="34"/>
        <v>5150</v>
      </c>
      <c r="G932" s="88">
        <v>5300</v>
      </c>
      <c r="H932" s="88">
        <v>5000</v>
      </c>
      <c r="I932" s="705" t="s">
        <v>956</v>
      </c>
      <c r="J932" s="598" t="s">
        <v>69</v>
      </c>
      <c r="K932" s="706" t="s">
        <v>4390</v>
      </c>
      <c r="L932" s="17" t="s">
        <v>2</v>
      </c>
      <c r="M932" s="699" t="s">
        <v>4374</v>
      </c>
      <c r="N932" s="209"/>
      <c r="O932" s="619"/>
    </row>
    <row r="933" spans="1:15" s="45" customFormat="1" ht="15.75" thickBot="1" x14ac:dyDescent="0.3">
      <c r="A933" s="189" t="s">
        <v>4370</v>
      </c>
      <c r="B933" s="700" t="s">
        <v>4385</v>
      </c>
      <c r="C933" s="404" t="s">
        <v>2830</v>
      </c>
      <c r="D933" s="703">
        <v>43.93</v>
      </c>
      <c r="E933" s="703">
        <v>4.43</v>
      </c>
      <c r="F933" s="116">
        <f t="shared" si="34"/>
        <v>5269</v>
      </c>
      <c r="G933" s="88">
        <v>5324</v>
      </c>
      <c r="H933" s="88">
        <v>5214</v>
      </c>
      <c r="I933" s="707" t="s">
        <v>48</v>
      </c>
      <c r="J933" s="598" t="s">
        <v>69</v>
      </c>
      <c r="K933" s="706" t="s">
        <v>4390</v>
      </c>
      <c r="L933" s="17" t="s">
        <v>2</v>
      </c>
      <c r="M933" s="699" t="s">
        <v>4375</v>
      </c>
      <c r="N933" s="209"/>
      <c r="O933" s="619"/>
    </row>
    <row r="934" spans="1:15" s="45" customFormat="1" ht="15.75" thickBot="1" x14ac:dyDescent="0.3">
      <c r="A934" s="189" t="s">
        <v>4370</v>
      </c>
      <c r="B934" s="700" t="s">
        <v>4385</v>
      </c>
      <c r="C934" s="404" t="s">
        <v>2830</v>
      </c>
      <c r="D934" s="703">
        <v>43.93</v>
      </c>
      <c r="E934" s="703">
        <v>4.43</v>
      </c>
      <c r="F934" s="116">
        <f t="shared" si="34"/>
        <v>5339</v>
      </c>
      <c r="G934" s="88">
        <v>5461</v>
      </c>
      <c r="H934" s="88">
        <v>5217</v>
      </c>
      <c r="I934" s="705" t="s">
        <v>2314</v>
      </c>
      <c r="J934" s="598" t="s">
        <v>69</v>
      </c>
      <c r="K934" s="706" t="s">
        <v>4390</v>
      </c>
      <c r="L934" s="17" t="s">
        <v>2</v>
      </c>
      <c r="M934" s="699" t="s">
        <v>4376</v>
      </c>
      <c r="N934" s="209"/>
      <c r="O934" s="61"/>
    </row>
    <row r="935" spans="1:15" s="45" customFormat="1" ht="15.75" thickBot="1" x14ac:dyDescent="0.3">
      <c r="A935" s="189" t="s">
        <v>4370</v>
      </c>
      <c r="B935" s="700" t="s">
        <v>4385</v>
      </c>
      <c r="C935" s="404" t="s">
        <v>2830</v>
      </c>
      <c r="D935" s="703">
        <v>43.93</v>
      </c>
      <c r="E935" s="703">
        <v>4.43</v>
      </c>
      <c r="F935" s="116">
        <f t="shared" si="34"/>
        <v>5028</v>
      </c>
      <c r="G935" s="88">
        <v>5204</v>
      </c>
      <c r="H935" s="88">
        <v>4852</v>
      </c>
      <c r="I935" s="708" t="s">
        <v>669</v>
      </c>
      <c r="J935" s="701" t="s">
        <v>2924</v>
      </c>
      <c r="K935" s="706" t="s">
        <v>4390</v>
      </c>
      <c r="L935" s="17" t="s">
        <v>14</v>
      </c>
      <c r="M935" s="699" t="s">
        <v>4377</v>
      </c>
      <c r="N935" s="209"/>
      <c r="O935" s="61"/>
    </row>
    <row r="936" spans="1:15" s="45" customFormat="1" x14ac:dyDescent="0.25">
      <c r="A936" s="189" t="s">
        <v>4370</v>
      </c>
      <c r="B936" s="700" t="s">
        <v>4385</v>
      </c>
      <c r="C936" s="404" t="s">
        <v>2830</v>
      </c>
      <c r="D936" s="703">
        <v>43.93</v>
      </c>
      <c r="E936" s="703">
        <v>4.43</v>
      </c>
      <c r="F936" s="116">
        <f t="shared" si="34"/>
        <v>5261.5</v>
      </c>
      <c r="G936" s="88">
        <v>5316</v>
      </c>
      <c r="H936" s="88">
        <v>5207</v>
      </c>
      <c r="I936" s="704" t="s">
        <v>1192</v>
      </c>
      <c r="J936" s="598" t="s">
        <v>69</v>
      </c>
      <c r="K936" s="706" t="s">
        <v>4390</v>
      </c>
      <c r="L936" s="17" t="s">
        <v>69</v>
      </c>
      <c r="M936" s="699" t="s">
        <v>4378</v>
      </c>
      <c r="N936" s="209"/>
      <c r="O936" s="61"/>
    </row>
    <row r="937" spans="1:15" s="45" customFormat="1" x14ac:dyDescent="0.25">
      <c r="A937" s="189" t="s">
        <v>4370</v>
      </c>
      <c r="B937" s="700" t="s">
        <v>4385</v>
      </c>
      <c r="C937" s="404" t="s">
        <v>2830</v>
      </c>
      <c r="D937" s="703">
        <v>43.93</v>
      </c>
      <c r="E937" s="703">
        <v>4.43</v>
      </c>
      <c r="F937" s="116">
        <f t="shared" si="34"/>
        <v>5350</v>
      </c>
      <c r="G937" s="88">
        <v>5500</v>
      </c>
      <c r="H937" s="88">
        <v>5200</v>
      </c>
      <c r="I937" s="704" t="s">
        <v>956</v>
      </c>
      <c r="J937" s="598" t="s">
        <v>69</v>
      </c>
      <c r="K937" s="706" t="s">
        <v>4390</v>
      </c>
      <c r="L937" s="17" t="s">
        <v>69</v>
      </c>
      <c r="M937" s="699" t="s">
        <v>4379</v>
      </c>
      <c r="N937" s="209"/>
      <c r="O937" s="61"/>
    </row>
    <row r="938" spans="1:15" s="45" customFormat="1" ht="15.75" thickBot="1" x14ac:dyDescent="0.3">
      <c r="A938" s="189" t="s">
        <v>4370</v>
      </c>
      <c r="B938" s="700" t="s">
        <v>4386</v>
      </c>
      <c r="C938" s="404" t="s">
        <v>2830</v>
      </c>
      <c r="D938" s="702">
        <v>43.124699999999997</v>
      </c>
      <c r="E938" s="702">
        <v>2.2107000000000001</v>
      </c>
      <c r="F938" s="116">
        <f t="shared" si="34"/>
        <v>4310</v>
      </c>
      <c r="G938" s="88">
        <v>4441</v>
      </c>
      <c r="H938" s="88">
        <v>4179</v>
      </c>
      <c r="I938" s="704" t="s">
        <v>503</v>
      </c>
      <c r="J938" s="701" t="s">
        <v>4388</v>
      </c>
      <c r="K938" s="706" t="s">
        <v>4392</v>
      </c>
      <c r="L938" s="17" t="s">
        <v>14</v>
      </c>
      <c r="M938" s="699" t="s">
        <v>4380</v>
      </c>
      <c r="N938" s="209"/>
      <c r="O938" s="61"/>
    </row>
    <row r="939" spans="1:15" s="45" customFormat="1" ht="15.75" thickBot="1" x14ac:dyDescent="0.3">
      <c r="A939" s="189" t="s">
        <v>4370</v>
      </c>
      <c r="B939" s="700" t="s">
        <v>4386</v>
      </c>
      <c r="C939" s="404" t="s">
        <v>2830</v>
      </c>
      <c r="D939" s="702">
        <v>43.124699999999997</v>
      </c>
      <c r="E939" s="702">
        <v>2.2107000000000001</v>
      </c>
      <c r="F939" s="116">
        <f t="shared" si="34"/>
        <v>4191.5</v>
      </c>
      <c r="G939" s="88">
        <v>4329</v>
      </c>
      <c r="H939" s="88">
        <v>4054</v>
      </c>
      <c r="I939" s="708" t="s">
        <v>822</v>
      </c>
      <c r="J939" s="598" t="s">
        <v>69</v>
      </c>
      <c r="K939" s="706" t="s">
        <v>4392</v>
      </c>
      <c r="L939" s="17" t="s">
        <v>2</v>
      </c>
      <c r="M939" s="699" t="s">
        <v>4381</v>
      </c>
      <c r="N939" s="209"/>
      <c r="O939" s="61"/>
    </row>
    <row r="940" spans="1:15" s="45" customFormat="1" x14ac:dyDescent="0.25">
      <c r="A940" s="189" t="s">
        <v>4370</v>
      </c>
      <c r="B940" s="700" t="s">
        <v>4386</v>
      </c>
      <c r="C940" s="404" t="s">
        <v>2830</v>
      </c>
      <c r="D940" s="702">
        <v>43.124699999999997</v>
      </c>
      <c r="E940" s="702">
        <v>2.2107000000000001</v>
      </c>
      <c r="F940" s="116">
        <f t="shared" si="34"/>
        <v>4261</v>
      </c>
      <c r="G940" s="88">
        <v>4345</v>
      </c>
      <c r="H940" s="88">
        <v>4177</v>
      </c>
      <c r="I940" s="705" t="s">
        <v>1251</v>
      </c>
      <c r="J940" s="701" t="s">
        <v>4389</v>
      </c>
      <c r="K940" s="706" t="s">
        <v>4392</v>
      </c>
      <c r="L940" s="17" t="s">
        <v>14</v>
      </c>
      <c r="M940" s="699" t="s">
        <v>3002</v>
      </c>
      <c r="N940" s="209"/>
      <c r="O940" s="61"/>
    </row>
    <row r="941" spans="1:15" s="45" customFormat="1" x14ac:dyDescent="0.25">
      <c r="A941" s="189" t="s">
        <v>4370</v>
      </c>
      <c r="B941" s="700" t="s">
        <v>4387</v>
      </c>
      <c r="C941" s="404" t="s">
        <v>2830</v>
      </c>
      <c r="D941" s="702">
        <v>43.205100000000002</v>
      </c>
      <c r="E941" s="702">
        <v>3.1307999999999998</v>
      </c>
      <c r="F941" s="116">
        <f t="shared" si="34"/>
        <v>4300</v>
      </c>
      <c r="G941" s="88">
        <v>4500</v>
      </c>
      <c r="H941" s="88">
        <v>4100</v>
      </c>
      <c r="I941" s="704" t="s">
        <v>1251</v>
      </c>
      <c r="J941" s="598" t="s">
        <v>69</v>
      </c>
      <c r="K941" s="706" t="s">
        <v>4392</v>
      </c>
      <c r="L941" s="17" t="s">
        <v>2</v>
      </c>
      <c r="M941" s="699" t="s">
        <v>1257</v>
      </c>
      <c r="N941" s="209"/>
      <c r="O941" s="61"/>
    </row>
    <row r="942" spans="1:15" s="45" customFormat="1" x14ac:dyDescent="0.25">
      <c r="A942" s="189" t="s">
        <v>4370</v>
      </c>
      <c r="B942" s="700" t="s">
        <v>4387</v>
      </c>
      <c r="C942" s="404" t="s">
        <v>2830</v>
      </c>
      <c r="D942" s="702">
        <v>43.205100000000002</v>
      </c>
      <c r="E942" s="702">
        <v>3.1307999999999998</v>
      </c>
      <c r="F942" s="116">
        <f t="shared" si="34"/>
        <v>4348</v>
      </c>
      <c r="G942" s="88">
        <v>4442</v>
      </c>
      <c r="H942" s="88">
        <v>4254</v>
      </c>
      <c r="I942" s="704" t="s">
        <v>153</v>
      </c>
      <c r="J942" s="598" t="s">
        <v>69</v>
      </c>
      <c r="K942" s="706" t="s">
        <v>4392</v>
      </c>
      <c r="L942" s="17" t="s">
        <v>2</v>
      </c>
      <c r="M942" s="699" t="s">
        <v>1256</v>
      </c>
      <c r="N942" s="209"/>
      <c r="O942" s="61"/>
    </row>
    <row r="943" spans="1:15" s="45" customFormat="1" x14ac:dyDescent="0.25">
      <c r="A943" s="189" t="s">
        <v>4370</v>
      </c>
      <c r="B943" s="700" t="s">
        <v>4387</v>
      </c>
      <c r="C943" s="404" t="s">
        <v>2830</v>
      </c>
      <c r="D943" s="702">
        <v>43.205100000000002</v>
      </c>
      <c r="E943" s="702">
        <v>3.1307999999999998</v>
      </c>
      <c r="F943" s="116">
        <f t="shared" si="34"/>
        <v>4300</v>
      </c>
      <c r="G943" s="88">
        <v>4500</v>
      </c>
      <c r="H943" s="88">
        <v>4100</v>
      </c>
      <c r="I943" s="705" t="s">
        <v>3</v>
      </c>
      <c r="J943" s="598" t="s">
        <v>69</v>
      </c>
      <c r="K943" s="706" t="s">
        <v>4392</v>
      </c>
      <c r="L943" s="17" t="s">
        <v>2</v>
      </c>
      <c r="M943" s="699" t="s">
        <v>4382</v>
      </c>
      <c r="N943" s="209"/>
      <c r="O943" s="61"/>
    </row>
    <row r="944" spans="1:15" s="45" customFormat="1" x14ac:dyDescent="0.25">
      <c r="A944" s="189" t="s">
        <v>4370</v>
      </c>
      <c r="B944" s="700" t="s">
        <v>4387</v>
      </c>
      <c r="C944" s="404" t="s">
        <v>2830</v>
      </c>
      <c r="D944" s="702">
        <v>43.205100000000002</v>
      </c>
      <c r="E944" s="702">
        <v>3.1307999999999998</v>
      </c>
      <c r="F944" s="116">
        <f t="shared" si="34"/>
        <v>4300</v>
      </c>
      <c r="G944" s="88">
        <v>4500</v>
      </c>
      <c r="H944" s="88">
        <v>4100</v>
      </c>
      <c r="I944" s="705" t="s">
        <v>1192</v>
      </c>
      <c r="J944" s="598" t="s">
        <v>69</v>
      </c>
      <c r="K944" s="706" t="s">
        <v>4392</v>
      </c>
      <c r="L944" s="17" t="s">
        <v>2</v>
      </c>
      <c r="M944" s="699" t="s">
        <v>4383</v>
      </c>
      <c r="N944" s="209"/>
      <c r="O944" s="61"/>
    </row>
    <row r="945" spans="1:15" s="45" customFormat="1" x14ac:dyDescent="0.25">
      <c r="A945" s="665" t="s">
        <v>4282</v>
      </c>
      <c r="B945" s="669"/>
      <c r="C945" s="668"/>
      <c r="D945" s="684">
        <f>AVERAGE(D860:D944)</f>
        <v>43.445903764705875</v>
      </c>
      <c r="E945" s="684">
        <f>AVERAGE(E860:E944)</f>
        <v>3.0837917647058855</v>
      </c>
      <c r="F945" s="685">
        <f>AVERAGE(F860:F944)</f>
        <v>4419.9235294117643</v>
      </c>
      <c r="G945" s="12"/>
      <c r="H945" s="113"/>
      <c r="I945" s="358"/>
      <c r="J945" s="281"/>
      <c r="K945" s="232"/>
      <c r="L945" s="29"/>
      <c r="M945" s="232"/>
      <c r="N945" s="354"/>
      <c r="O945" s="61"/>
    </row>
    <row r="946" spans="1:15" s="2" customFormat="1" x14ac:dyDescent="0.25">
      <c r="A946" s="108" t="s">
        <v>4227</v>
      </c>
      <c r="B946" s="367"/>
      <c r="C946" s="404"/>
      <c r="D946" s="360"/>
      <c r="E946" s="360"/>
      <c r="F946" s="361"/>
      <c r="G946" s="362"/>
      <c r="H946" s="363"/>
      <c r="I946" s="362"/>
      <c r="J946" s="362"/>
      <c r="K946" s="364"/>
      <c r="L946" s="362"/>
      <c r="M946" s="364"/>
      <c r="N946" s="365"/>
      <c r="O946" s="61"/>
    </row>
    <row r="947" spans="1:15" x14ac:dyDescent="0.25">
      <c r="B947" s="367"/>
      <c r="C947" s="404"/>
      <c r="D947" s="29"/>
      <c r="E947" s="29"/>
      <c r="F947" s="251"/>
      <c r="G947" s="29"/>
      <c r="H947" s="113"/>
      <c r="I947" s="281"/>
      <c r="J947" s="281"/>
      <c r="K947" s="370"/>
      <c r="L947" s="29"/>
      <c r="M947" s="232"/>
      <c r="N947" s="354"/>
      <c r="O947" s="61"/>
    </row>
    <row r="948" spans="1:15" x14ac:dyDescent="0.25">
      <c r="A948" s="665" t="s">
        <v>4276</v>
      </c>
      <c r="B948" s="367"/>
      <c r="C948" s="404"/>
      <c r="D948" s="29"/>
      <c r="E948" s="29"/>
      <c r="F948" s="251"/>
      <c r="G948" s="29"/>
      <c r="H948" s="113"/>
      <c r="I948" s="281"/>
      <c r="J948" s="281"/>
      <c r="K948" s="370"/>
      <c r="L948" s="29"/>
      <c r="M948" s="232"/>
      <c r="N948" s="354"/>
      <c r="O948" s="61"/>
    </row>
    <row r="949" spans="1:15" s="100" customFormat="1" ht="32.450000000000003" customHeight="1" thickBot="1" x14ac:dyDescent="0.3">
      <c r="A949" s="507" t="s">
        <v>4291</v>
      </c>
      <c r="B949" s="508" t="s">
        <v>1247</v>
      </c>
      <c r="C949" s="519" t="s">
        <v>0</v>
      </c>
      <c r="D949" s="510" t="s">
        <v>969</v>
      </c>
      <c r="E949" s="510" t="s">
        <v>2323</v>
      </c>
      <c r="F949" s="510" t="s">
        <v>398</v>
      </c>
      <c r="G949" s="511" t="s">
        <v>399</v>
      </c>
      <c r="H949" s="512" t="s">
        <v>400</v>
      </c>
      <c r="I949" s="101" t="s">
        <v>2322</v>
      </c>
      <c r="J949" s="589" t="s">
        <v>3927</v>
      </c>
      <c r="K949" s="590" t="s">
        <v>3250</v>
      </c>
      <c r="L949" s="591" t="s">
        <v>1</v>
      </c>
      <c r="M949" s="590" t="s">
        <v>3486</v>
      </c>
      <c r="N949" s="640" t="s">
        <v>3487</v>
      </c>
      <c r="O949" s="655" t="s">
        <v>2324</v>
      </c>
    </row>
    <row r="950" spans="1:15" ht="15.75" thickBot="1" x14ac:dyDescent="0.3">
      <c r="A950" s="328" t="s">
        <v>3826</v>
      </c>
      <c r="B950" s="238" t="s">
        <v>3813</v>
      </c>
      <c r="C950" s="405" t="s">
        <v>2831</v>
      </c>
      <c r="D950" s="90">
        <v>42.0563863</v>
      </c>
      <c r="E950" s="90">
        <v>2.5383646999999798</v>
      </c>
      <c r="F950" s="116">
        <v>5050</v>
      </c>
      <c r="G950" s="197">
        <v>5100</v>
      </c>
      <c r="H950" s="197">
        <v>5000</v>
      </c>
      <c r="I950" s="177" t="s">
        <v>6</v>
      </c>
      <c r="J950" s="247" t="s">
        <v>2617</v>
      </c>
      <c r="K950" s="623" t="s">
        <v>3811</v>
      </c>
      <c r="L950" s="41" t="s">
        <v>14</v>
      </c>
      <c r="M950" s="331" t="s">
        <v>3818</v>
      </c>
      <c r="N950" s="332"/>
      <c r="O950" s="205" t="s">
        <v>3336</v>
      </c>
    </row>
    <row r="951" spans="1:15" ht="15.75" thickBot="1" x14ac:dyDescent="0.3">
      <c r="A951" s="328" t="s">
        <v>3826</v>
      </c>
      <c r="B951" s="238" t="s">
        <v>3813</v>
      </c>
      <c r="C951" s="405" t="s">
        <v>2831</v>
      </c>
      <c r="D951" s="90">
        <v>42.0563863</v>
      </c>
      <c r="E951" s="90">
        <v>2.5383646999999798</v>
      </c>
      <c r="F951" s="116">
        <v>5050</v>
      </c>
      <c r="G951" s="197">
        <v>5100</v>
      </c>
      <c r="H951" s="197">
        <v>5000</v>
      </c>
      <c r="I951" s="177" t="s">
        <v>6</v>
      </c>
      <c r="J951" s="247" t="s">
        <v>2617</v>
      </c>
      <c r="K951" s="623" t="s">
        <v>3811</v>
      </c>
      <c r="L951" s="41" t="s">
        <v>14</v>
      </c>
      <c r="M951" s="331" t="s">
        <v>3819</v>
      </c>
      <c r="N951" s="332"/>
      <c r="O951" s="205"/>
    </row>
    <row r="952" spans="1:15" x14ac:dyDescent="0.25">
      <c r="A952" s="328" t="s">
        <v>3826</v>
      </c>
      <c r="B952" s="238" t="s">
        <v>3813</v>
      </c>
      <c r="C952" s="405" t="s">
        <v>2831</v>
      </c>
      <c r="D952" s="90">
        <v>42.0563863</v>
      </c>
      <c r="E952" s="90">
        <v>2.5383646999999798</v>
      </c>
      <c r="F952" s="116">
        <v>5050</v>
      </c>
      <c r="G952" s="197">
        <v>5100</v>
      </c>
      <c r="H952" s="197">
        <v>5000</v>
      </c>
      <c r="I952" s="102" t="s">
        <v>3</v>
      </c>
      <c r="J952" s="247" t="s">
        <v>2617</v>
      </c>
      <c r="K952" s="623" t="s">
        <v>3811</v>
      </c>
      <c r="L952" s="41" t="s">
        <v>14</v>
      </c>
      <c r="M952" s="331" t="s">
        <v>3820</v>
      </c>
      <c r="N952" s="332"/>
      <c r="O952" s="205"/>
    </row>
    <row r="953" spans="1:15" x14ac:dyDescent="0.25">
      <c r="A953" s="328" t="s">
        <v>3826</v>
      </c>
      <c r="B953" s="238" t="s">
        <v>3814</v>
      </c>
      <c r="C953" s="405" t="s">
        <v>2831</v>
      </c>
      <c r="D953" s="90">
        <v>42.0563863</v>
      </c>
      <c r="E953" s="90">
        <v>2.5383646999999798</v>
      </c>
      <c r="F953" s="116">
        <v>5050</v>
      </c>
      <c r="G953" s="197">
        <v>5100</v>
      </c>
      <c r="H953" s="197">
        <v>5000</v>
      </c>
      <c r="I953" s="102" t="s">
        <v>7</v>
      </c>
      <c r="J953" s="247" t="s">
        <v>69</v>
      </c>
      <c r="K953" s="623" t="s">
        <v>3811</v>
      </c>
      <c r="L953" s="41" t="s">
        <v>2</v>
      </c>
      <c r="M953" s="331" t="s">
        <v>3821</v>
      </c>
      <c r="N953" s="332"/>
      <c r="O953" s="205"/>
    </row>
    <row r="954" spans="1:15" ht="15.75" thickBot="1" x14ac:dyDescent="0.3">
      <c r="A954" s="328" t="s">
        <v>3826</v>
      </c>
      <c r="B954" s="238" t="s">
        <v>3814</v>
      </c>
      <c r="C954" s="405" t="s">
        <v>2831</v>
      </c>
      <c r="D954" s="90">
        <v>42.0563863</v>
      </c>
      <c r="E954" s="90">
        <v>2.5383646999999798</v>
      </c>
      <c r="F954" s="116">
        <v>5050</v>
      </c>
      <c r="G954" s="197">
        <v>5100</v>
      </c>
      <c r="H954" s="197">
        <v>5000</v>
      </c>
      <c r="I954" s="102" t="s">
        <v>7</v>
      </c>
      <c r="J954" s="247" t="s">
        <v>2617</v>
      </c>
      <c r="K954" s="623" t="s">
        <v>3811</v>
      </c>
      <c r="L954" s="41" t="s">
        <v>14</v>
      </c>
      <c r="M954" s="331" t="s">
        <v>3822</v>
      </c>
      <c r="N954" s="332"/>
      <c r="O954" s="205"/>
    </row>
    <row r="955" spans="1:15" ht="15.75" thickBot="1" x14ac:dyDescent="0.3">
      <c r="A955" s="328" t="s">
        <v>3826</v>
      </c>
      <c r="B955" s="238" t="s">
        <v>3814</v>
      </c>
      <c r="C955" s="405" t="s">
        <v>2831</v>
      </c>
      <c r="D955" s="90">
        <v>42.0563863</v>
      </c>
      <c r="E955" s="90">
        <v>2.5383646999999798</v>
      </c>
      <c r="F955" s="116">
        <v>5050</v>
      </c>
      <c r="G955" s="197">
        <v>5100</v>
      </c>
      <c r="H955" s="197">
        <v>5000</v>
      </c>
      <c r="I955" s="177" t="s">
        <v>6</v>
      </c>
      <c r="J955" s="247" t="s">
        <v>2617</v>
      </c>
      <c r="K955" s="623" t="s">
        <v>3811</v>
      </c>
      <c r="L955" s="41" t="s">
        <v>14</v>
      </c>
      <c r="M955" s="331" t="s">
        <v>3823</v>
      </c>
      <c r="N955" s="332"/>
      <c r="O955" s="205"/>
    </row>
    <row r="956" spans="1:15" x14ac:dyDescent="0.25">
      <c r="A956" s="328" t="s">
        <v>3826</v>
      </c>
      <c r="B956" s="238" t="s">
        <v>3814</v>
      </c>
      <c r="C956" s="405" t="s">
        <v>2831</v>
      </c>
      <c r="D956" s="90">
        <v>42.0563863</v>
      </c>
      <c r="E956" s="90">
        <v>2.5383646999999798</v>
      </c>
      <c r="F956" s="116">
        <v>5050</v>
      </c>
      <c r="G956" s="197">
        <v>5100</v>
      </c>
      <c r="H956" s="197">
        <v>5000</v>
      </c>
      <c r="I956" s="102" t="s">
        <v>9</v>
      </c>
      <c r="J956" s="247" t="s">
        <v>3825</v>
      </c>
      <c r="K956" s="623" t="s">
        <v>3811</v>
      </c>
      <c r="L956" s="41" t="s">
        <v>14</v>
      </c>
      <c r="M956" s="331" t="s">
        <v>3824</v>
      </c>
      <c r="N956" s="332"/>
      <c r="O956" s="205"/>
    </row>
    <row r="957" spans="1:15" ht="15.75" thickBot="1" x14ac:dyDescent="0.3">
      <c r="A957" s="328" t="s">
        <v>165</v>
      </c>
      <c r="B957" s="238" t="s">
        <v>3815</v>
      </c>
      <c r="C957" s="405" t="s">
        <v>2831</v>
      </c>
      <c r="D957" s="41">
        <v>41.333880000000001</v>
      </c>
      <c r="E957" s="41">
        <v>1.9219999999999999</v>
      </c>
      <c r="F957" s="116">
        <v>5390</v>
      </c>
      <c r="G957" s="197">
        <v>5475</v>
      </c>
      <c r="H957" s="197">
        <v>5305</v>
      </c>
      <c r="I957" s="102" t="s">
        <v>18</v>
      </c>
      <c r="J957" s="247" t="s">
        <v>69</v>
      </c>
      <c r="K957" s="623" t="s">
        <v>3812</v>
      </c>
      <c r="L957" s="41" t="s">
        <v>69</v>
      </c>
      <c r="M957" s="331" t="s">
        <v>166</v>
      </c>
      <c r="N957" s="332"/>
      <c r="O957" s="205"/>
    </row>
    <row r="958" spans="1:15" s="10" customFormat="1" ht="15.75" thickBot="1" x14ac:dyDescent="0.3">
      <c r="A958" s="328" t="s">
        <v>165</v>
      </c>
      <c r="B958" s="238" t="s">
        <v>3815</v>
      </c>
      <c r="C958" s="405" t="s">
        <v>2831</v>
      </c>
      <c r="D958" s="41">
        <v>41.333880000000001</v>
      </c>
      <c r="E958" s="41">
        <v>1.9219999999999999</v>
      </c>
      <c r="F958" s="116">
        <v>5390</v>
      </c>
      <c r="G958" s="197">
        <v>5475</v>
      </c>
      <c r="H958" s="197">
        <v>5305</v>
      </c>
      <c r="I958" s="177" t="s">
        <v>43</v>
      </c>
      <c r="J958" s="247" t="s">
        <v>69</v>
      </c>
      <c r="K958" s="623" t="s">
        <v>3812</v>
      </c>
      <c r="L958" s="41" t="s">
        <v>69</v>
      </c>
      <c r="M958" s="331" t="s">
        <v>167</v>
      </c>
      <c r="N958" s="332"/>
      <c r="O958" s="205"/>
    </row>
    <row r="959" spans="1:15" s="6" customFormat="1" x14ac:dyDescent="0.25">
      <c r="A959" s="328" t="s">
        <v>165</v>
      </c>
      <c r="B959" s="238" t="s">
        <v>3815</v>
      </c>
      <c r="C959" s="405" t="s">
        <v>2831</v>
      </c>
      <c r="D959" s="41">
        <v>41.333880000000001</v>
      </c>
      <c r="E959" s="41">
        <v>1.9219999999999999</v>
      </c>
      <c r="F959" s="116">
        <v>5390</v>
      </c>
      <c r="G959" s="197">
        <v>5475</v>
      </c>
      <c r="H959" s="197">
        <v>5305</v>
      </c>
      <c r="I959" s="102" t="s">
        <v>170</v>
      </c>
      <c r="J959" s="247" t="s">
        <v>69</v>
      </c>
      <c r="K959" s="623" t="s">
        <v>3812</v>
      </c>
      <c r="L959" s="41" t="s">
        <v>69</v>
      </c>
      <c r="M959" s="331" t="s">
        <v>171</v>
      </c>
      <c r="N959" s="332"/>
      <c r="O959" s="205"/>
    </row>
    <row r="960" spans="1:15" s="6" customFormat="1" x14ac:dyDescent="0.25">
      <c r="A960" s="328" t="s">
        <v>165</v>
      </c>
      <c r="B960" s="238" t="s">
        <v>3815</v>
      </c>
      <c r="C960" s="405" t="s">
        <v>2831</v>
      </c>
      <c r="D960" s="41">
        <v>41.333880000000001</v>
      </c>
      <c r="E960" s="41">
        <v>1.9219999999999999</v>
      </c>
      <c r="F960" s="116">
        <v>5390</v>
      </c>
      <c r="G960" s="197">
        <v>5475</v>
      </c>
      <c r="H960" s="197">
        <v>5305</v>
      </c>
      <c r="I960" s="102" t="s">
        <v>170</v>
      </c>
      <c r="J960" s="247" t="s">
        <v>69</v>
      </c>
      <c r="K960" s="623" t="s">
        <v>3812</v>
      </c>
      <c r="L960" s="41" t="s">
        <v>69</v>
      </c>
      <c r="M960" s="331" t="s">
        <v>172</v>
      </c>
      <c r="N960" s="332"/>
      <c r="O960" s="205"/>
    </row>
    <row r="961" spans="1:15" s="6" customFormat="1" x14ac:dyDescent="0.25">
      <c r="A961" s="328" t="s">
        <v>165</v>
      </c>
      <c r="B961" s="238" t="s">
        <v>3815</v>
      </c>
      <c r="C961" s="405" t="s">
        <v>2831</v>
      </c>
      <c r="D961" s="41">
        <v>41.333880000000001</v>
      </c>
      <c r="E961" s="41">
        <v>1.9219999999999999</v>
      </c>
      <c r="F961" s="116">
        <v>5390</v>
      </c>
      <c r="G961" s="197">
        <v>5475</v>
      </c>
      <c r="H961" s="197">
        <v>5305</v>
      </c>
      <c r="I961" s="102" t="s">
        <v>173</v>
      </c>
      <c r="J961" s="247" t="s">
        <v>69</v>
      </c>
      <c r="K961" s="623" t="s">
        <v>3812</v>
      </c>
      <c r="L961" s="41" t="s">
        <v>69</v>
      </c>
      <c r="M961" s="331" t="s">
        <v>174</v>
      </c>
      <c r="N961" s="332"/>
      <c r="O961" s="205"/>
    </row>
    <row r="962" spans="1:15" s="6" customFormat="1" x14ac:dyDescent="0.25">
      <c r="A962" s="328" t="s">
        <v>165</v>
      </c>
      <c r="B962" s="238" t="s">
        <v>3815</v>
      </c>
      <c r="C962" s="405" t="s">
        <v>2831</v>
      </c>
      <c r="D962" s="41">
        <v>41.333880000000001</v>
      </c>
      <c r="E962" s="41">
        <v>1.9219999999999999</v>
      </c>
      <c r="F962" s="116">
        <v>5390</v>
      </c>
      <c r="G962" s="197">
        <v>5475</v>
      </c>
      <c r="H962" s="197">
        <v>5305</v>
      </c>
      <c r="I962" s="102" t="s">
        <v>170</v>
      </c>
      <c r="J962" s="247" t="s">
        <v>69</v>
      </c>
      <c r="K962" s="623" t="s">
        <v>3812</v>
      </c>
      <c r="L962" s="41" t="s">
        <v>69</v>
      </c>
      <c r="M962" s="331" t="s">
        <v>805</v>
      </c>
      <c r="N962" s="332"/>
      <c r="O962" s="205"/>
    </row>
    <row r="963" spans="1:15" s="6" customFormat="1" ht="15.75" thickBot="1" x14ac:dyDescent="0.3">
      <c r="A963" s="328" t="s">
        <v>165</v>
      </c>
      <c r="B963" s="238" t="s">
        <v>3815</v>
      </c>
      <c r="C963" s="405" t="s">
        <v>2831</v>
      </c>
      <c r="D963" s="41">
        <v>41.333880000000001</v>
      </c>
      <c r="E963" s="41">
        <v>1.9219999999999999</v>
      </c>
      <c r="F963" s="116">
        <v>5390</v>
      </c>
      <c r="G963" s="197">
        <v>5475</v>
      </c>
      <c r="H963" s="197">
        <v>5305</v>
      </c>
      <c r="I963" s="102" t="s">
        <v>9</v>
      </c>
      <c r="J963" s="247" t="s">
        <v>69</v>
      </c>
      <c r="K963" s="623" t="s">
        <v>3812</v>
      </c>
      <c r="L963" s="41" t="s">
        <v>69</v>
      </c>
      <c r="M963" s="331" t="s">
        <v>806</v>
      </c>
      <c r="N963" s="332"/>
      <c r="O963" s="205"/>
    </row>
    <row r="964" spans="1:15" s="6" customFormat="1" ht="15.75" thickBot="1" x14ac:dyDescent="0.3">
      <c r="A964" s="328" t="s">
        <v>165</v>
      </c>
      <c r="B964" s="238" t="s">
        <v>702</v>
      </c>
      <c r="C964" s="405" t="s">
        <v>2831</v>
      </c>
      <c r="D964" s="41">
        <v>42.211649999999999</v>
      </c>
      <c r="E964" s="41">
        <v>-0.13753000000000001</v>
      </c>
      <c r="F964" s="116">
        <v>5164</v>
      </c>
      <c r="G964" s="197">
        <v>5329</v>
      </c>
      <c r="H964" s="197">
        <v>4999</v>
      </c>
      <c r="I964" s="177" t="s">
        <v>43</v>
      </c>
      <c r="J964" s="247" t="s">
        <v>69</v>
      </c>
      <c r="K964" s="623" t="s">
        <v>3812</v>
      </c>
      <c r="L964" s="41" t="s">
        <v>69</v>
      </c>
      <c r="M964" s="331" t="s">
        <v>176</v>
      </c>
      <c r="N964" s="332"/>
      <c r="O964" s="205"/>
    </row>
    <row r="965" spans="1:15" s="6" customFormat="1" x14ac:dyDescent="0.25">
      <c r="A965" s="328" t="s">
        <v>165</v>
      </c>
      <c r="B965" s="238" t="s">
        <v>702</v>
      </c>
      <c r="C965" s="405" t="s">
        <v>2831</v>
      </c>
      <c r="D965" s="41">
        <v>42.211649999999999</v>
      </c>
      <c r="E965" s="41">
        <v>-0.13753000000000001</v>
      </c>
      <c r="F965" s="116">
        <v>5164</v>
      </c>
      <c r="G965" s="197">
        <v>5329</v>
      </c>
      <c r="H965" s="197">
        <v>4999</v>
      </c>
      <c r="I965" s="102" t="s">
        <v>18</v>
      </c>
      <c r="J965" s="247" t="s">
        <v>69</v>
      </c>
      <c r="K965" s="623" t="s">
        <v>3812</v>
      </c>
      <c r="L965" s="41" t="s">
        <v>69</v>
      </c>
      <c r="M965" s="331" t="s">
        <v>177</v>
      </c>
      <c r="N965" s="332"/>
      <c r="O965" s="205"/>
    </row>
    <row r="966" spans="1:15" s="6" customFormat="1" ht="15.75" thickBot="1" x14ac:dyDescent="0.3">
      <c r="A966" s="328" t="s">
        <v>165</v>
      </c>
      <c r="B966" s="238" t="s">
        <v>702</v>
      </c>
      <c r="C966" s="405" t="s">
        <v>2831</v>
      </c>
      <c r="D966" s="41">
        <v>42.211649999999999</v>
      </c>
      <c r="E966" s="41">
        <v>-0.13753000000000001</v>
      </c>
      <c r="F966" s="116">
        <v>5164</v>
      </c>
      <c r="G966" s="197">
        <v>5329</v>
      </c>
      <c r="H966" s="197">
        <v>4999</v>
      </c>
      <c r="I966" s="102" t="s">
        <v>18</v>
      </c>
      <c r="J966" s="247" t="s">
        <v>69</v>
      </c>
      <c r="K966" s="623" t="s">
        <v>3812</v>
      </c>
      <c r="L966" s="41" t="s">
        <v>69</v>
      </c>
      <c r="M966" s="331" t="s">
        <v>178</v>
      </c>
      <c r="N966" s="332"/>
      <c r="O966" s="205"/>
    </row>
    <row r="967" spans="1:15" s="45" customFormat="1" ht="15.75" thickBot="1" x14ac:dyDescent="0.3">
      <c r="A967" s="328" t="s">
        <v>165</v>
      </c>
      <c r="B967" s="238" t="s">
        <v>3816</v>
      </c>
      <c r="C967" s="405" t="s">
        <v>2831</v>
      </c>
      <c r="D967" s="41">
        <v>41.369525000000003</v>
      </c>
      <c r="E967" s="41">
        <v>1.8940669999999999</v>
      </c>
      <c r="F967" s="116">
        <f>(G967+H967)/2</f>
        <v>5398</v>
      </c>
      <c r="G967" s="197">
        <v>5469</v>
      </c>
      <c r="H967" s="197">
        <v>5327</v>
      </c>
      <c r="I967" s="177" t="s">
        <v>168</v>
      </c>
      <c r="J967" s="247" t="s">
        <v>69</v>
      </c>
      <c r="K967" s="331" t="s">
        <v>2560</v>
      </c>
      <c r="L967" s="41" t="s">
        <v>2</v>
      </c>
      <c r="M967" s="331" t="s">
        <v>169</v>
      </c>
      <c r="N967" s="332" t="s">
        <v>2291</v>
      </c>
      <c r="O967" s="205" t="s">
        <v>3858</v>
      </c>
    </row>
    <row r="968" spans="1:15" s="6" customFormat="1" ht="13.9" customHeight="1" x14ac:dyDescent="0.25">
      <c r="A968" s="328" t="s">
        <v>165</v>
      </c>
      <c r="B968" s="238" t="s">
        <v>3816</v>
      </c>
      <c r="C968" s="405" t="s">
        <v>2831</v>
      </c>
      <c r="D968" s="41">
        <v>41.369525000000003</v>
      </c>
      <c r="E968" s="41">
        <v>1.8940669999999999</v>
      </c>
      <c r="F968" s="116">
        <v>5415</v>
      </c>
      <c r="G968" s="197">
        <v>5470</v>
      </c>
      <c r="H968" s="197">
        <v>5360</v>
      </c>
      <c r="I968" s="102" t="s">
        <v>79</v>
      </c>
      <c r="J968" s="247" t="s">
        <v>69</v>
      </c>
      <c r="K968" s="331" t="s">
        <v>2513</v>
      </c>
      <c r="L968" s="41" t="s">
        <v>2</v>
      </c>
      <c r="M968" s="331" t="s">
        <v>175</v>
      </c>
      <c r="N968" s="332"/>
      <c r="O968" s="205"/>
    </row>
    <row r="969" spans="1:15" s="6" customFormat="1" x14ac:dyDescent="0.25">
      <c r="A969" s="328" t="s">
        <v>165</v>
      </c>
      <c r="B969" s="238" t="s">
        <v>3817</v>
      </c>
      <c r="C969" s="405" t="s">
        <v>2831</v>
      </c>
      <c r="D969" s="41">
        <v>42.451751000000002</v>
      </c>
      <c r="E969" s="41">
        <v>0.56385200000000002</v>
      </c>
      <c r="F969" s="116">
        <f>(G969+H969)/2</f>
        <v>5194</v>
      </c>
      <c r="G969" s="197">
        <v>5310</v>
      </c>
      <c r="H969" s="197">
        <v>5078</v>
      </c>
      <c r="I969" s="102" t="s">
        <v>128</v>
      </c>
      <c r="J969" s="247" t="s">
        <v>180</v>
      </c>
      <c r="K969" s="331" t="s">
        <v>179</v>
      </c>
      <c r="L969" s="41" t="s">
        <v>14</v>
      </c>
      <c r="M969" s="331" t="s">
        <v>181</v>
      </c>
      <c r="N969" s="332" t="s">
        <v>182</v>
      </c>
      <c r="O969" s="205" t="s">
        <v>3718</v>
      </c>
    </row>
    <row r="970" spans="1:15" s="6" customFormat="1" x14ac:dyDescent="0.25">
      <c r="A970" s="328" t="s">
        <v>165</v>
      </c>
      <c r="B970" s="238" t="s">
        <v>3817</v>
      </c>
      <c r="C970" s="405" t="s">
        <v>2831</v>
      </c>
      <c r="D970" s="41">
        <v>42.451751000000002</v>
      </c>
      <c r="E970" s="41">
        <v>0.56385200000000002</v>
      </c>
      <c r="F970" s="116">
        <f>(G970+H970)/2</f>
        <v>5180</v>
      </c>
      <c r="G970" s="197">
        <v>5294</v>
      </c>
      <c r="H970" s="197">
        <v>5066</v>
      </c>
      <c r="I970" s="110" t="s">
        <v>3715</v>
      </c>
      <c r="J970" s="2" t="s">
        <v>1551</v>
      </c>
      <c r="K970" s="331" t="s">
        <v>179</v>
      </c>
      <c r="L970" s="41" t="s">
        <v>14</v>
      </c>
      <c r="M970" s="331" t="s">
        <v>185</v>
      </c>
      <c r="N970" s="332" t="s">
        <v>186</v>
      </c>
      <c r="O970" s="205" t="s">
        <v>3716</v>
      </c>
    </row>
    <row r="971" spans="1:15" s="6" customFormat="1" x14ac:dyDescent="0.25">
      <c r="A971" s="328" t="s">
        <v>165</v>
      </c>
      <c r="B971" s="238" t="s">
        <v>3817</v>
      </c>
      <c r="C971" s="405" t="s">
        <v>2831</v>
      </c>
      <c r="D971" s="41">
        <v>42.451751000000002</v>
      </c>
      <c r="E971" s="41">
        <v>0.56385200000000002</v>
      </c>
      <c r="F971" s="116">
        <f>(G971+H971)/2</f>
        <v>5189</v>
      </c>
      <c r="G971" s="197">
        <v>5303</v>
      </c>
      <c r="H971" s="197">
        <v>5075</v>
      </c>
      <c r="I971" s="102" t="s">
        <v>10</v>
      </c>
      <c r="J971" s="247" t="s">
        <v>69</v>
      </c>
      <c r="K971" s="331" t="s">
        <v>179</v>
      </c>
      <c r="L971" s="41" t="s">
        <v>2</v>
      </c>
      <c r="M971" s="331" t="s">
        <v>187</v>
      </c>
      <c r="N971" s="332" t="s">
        <v>188</v>
      </c>
      <c r="O971" s="205" t="s">
        <v>3717</v>
      </c>
    </row>
    <row r="972" spans="1:15" s="6" customFormat="1" ht="15.75" thickBot="1" x14ac:dyDescent="0.3">
      <c r="A972" s="328" t="s">
        <v>165</v>
      </c>
      <c r="B972" s="238" t="s">
        <v>3817</v>
      </c>
      <c r="C972" s="405" t="s">
        <v>2831</v>
      </c>
      <c r="D972" s="41">
        <v>42.451751000000002</v>
      </c>
      <c r="E972" s="41">
        <v>0.56385200000000002</v>
      </c>
      <c r="F972" s="116">
        <v>5264.5</v>
      </c>
      <c r="G972" s="197">
        <v>5311</v>
      </c>
      <c r="H972" s="197">
        <v>5218</v>
      </c>
      <c r="I972" s="102" t="s">
        <v>189</v>
      </c>
      <c r="J972" s="247" t="s">
        <v>69</v>
      </c>
      <c r="K972" s="331" t="s">
        <v>179</v>
      </c>
      <c r="L972" s="41" t="s">
        <v>2</v>
      </c>
      <c r="M972" s="331" t="s">
        <v>190</v>
      </c>
      <c r="N972" s="332" t="s">
        <v>191</v>
      </c>
      <c r="O972" s="205"/>
    </row>
    <row r="973" spans="1:15" s="6" customFormat="1" ht="15.75" thickBot="1" x14ac:dyDescent="0.3">
      <c r="A973" s="328" t="s">
        <v>165</v>
      </c>
      <c r="B973" s="238" t="s">
        <v>3817</v>
      </c>
      <c r="C973" s="405" t="s">
        <v>2831</v>
      </c>
      <c r="D973" s="41">
        <v>42.451751000000002</v>
      </c>
      <c r="E973" s="41">
        <v>0.56385200000000002</v>
      </c>
      <c r="F973" s="116">
        <v>5122.5</v>
      </c>
      <c r="G973" s="197">
        <v>5177</v>
      </c>
      <c r="H973" s="197">
        <v>5068</v>
      </c>
      <c r="I973" s="177" t="s">
        <v>168</v>
      </c>
      <c r="J973" s="247" t="s">
        <v>3857</v>
      </c>
      <c r="K973" s="331" t="s">
        <v>179</v>
      </c>
      <c r="L973" s="41" t="s">
        <v>14</v>
      </c>
      <c r="M973" s="331" t="s">
        <v>192</v>
      </c>
      <c r="N973" s="332" t="s">
        <v>193</v>
      </c>
      <c r="O973" s="205"/>
    </row>
    <row r="974" spans="1:15" s="6" customFormat="1" ht="15.75" thickBot="1" x14ac:dyDescent="0.3">
      <c r="A974" s="87" t="s">
        <v>663</v>
      </c>
      <c r="B974" s="238" t="s">
        <v>3817</v>
      </c>
      <c r="C974" s="405" t="s">
        <v>2831</v>
      </c>
      <c r="D974" s="41">
        <v>42.451751000000002</v>
      </c>
      <c r="E974" s="41">
        <v>0.56385200000000002</v>
      </c>
      <c r="F974" s="116">
        <f>AVERAGE(G974:H974)</f>
        <v>5187.5</v>
      </c>
      <c r="G974" s="197">
        <v>5315</v>
      </c>
      <c r="H974" s="197">
        <v>5060</v>
      </c>
      <c r="I974" s="177" t="s">
        <v>43</v>
      </c>
      <c r="J974" s="247" t="s">
        <v>69</v>
      </c>
      <c r="K974" s="331" t="s">
        <v>179</v>
      </c>
      <c r="L974" s="41" t="s">
        <v>69</v>
      </c>
      <c r="M974" s="331" t="s">
        <v>661</v>
      </c>
      <c r="N974" s="332"/>
      <c r="O974" s="205"/>
    </row>
    <row r="975" spans="1:15" s="6" customFormat="1" x14ac:dyDescent="0.25">
      <c r="A975" s="87" t="s">
        <v>663</v>
      </c>
      <c r="B975" s="238" t="s">
        <v>3817</v>
      </c>
      <c r="C975" s="405" t="s">
        <v>2831</v>
      </c>
      <c r="D975" s="41">
        <v>42.451751000000002</v>
      </c>
      <c r="E975" s="41">
        <v>0.56385200000000002</v>
      </c>
      <c r="F975" s="116">
        <f>AVERAGE(G975:H975)</f>
        <v>5187.5</v>
      </c>
      <c r="G975" s="197">
        <v>5315</v>
      </c>
      <c r="H975" s="197">
        <v>5060</v>
      </c>
      <c r="I975" s="102" t="s">
        <v>10</v>
      </c>
      <c r="J975" s="247" t="s">
        <v>69</v>
      </c>
      <c r="K975" s="331" t="s">
        <v>179</v>
      </c>
      <c r="L975" s="41" t="s">
        <v>69</v>
      </c>
      <c r="M975" s="331" t="s">
        <v>662</v>
      </c>
      <c r="N975" s="332"/>
      <c r="O975" s="205"/>
    </row>
    <row r="976" spans="1:15" s="6" customFormat="1" ht="15.75" thickBot="1" x14ac:dyDescent="0.3">
      <c r="A976" s="87" t="s">
        <v>698</v>
      </c>
      <c r="B976" s="238" t="s">
        <v>702</v>
      </c>
      <c r="C976" s="405" t="s">
        <v>2831</v>
      </c>
      <c r="D976" s="41">
        <v>42.22</v>
      </c>
      <c r="E976" s="41">
        <v>-0.14799999999999999</v>
      </c>
      <c r="F976" s="116">
        <f>AVERAGE(G976:H976)</f>
        <v>5182.5</v>
      </c>
      <c r="G976" s="197">
        <v>5308</v>
      </c>
      <c r="H976" s="197">
        <v>5057</v>
      </c>
      <c r="I976" s="102" t="s">
        <v>493</v>
      </c>
      <c r="J976" s="247" t="s">
        <v>420</v>
      </c>
      <c r="K976" s="331" t="s">
        <v>2929</v>
      </c>
      <c r="L976" s="41" t="s">
        <v>69</v>
      </c>
      <c r="M976" s="331" t="s">
        <v>703</v>
      </c>
      <c r="N976" s="332" t="s">
        <v>704</v>
      </c>
      <c r="O976" s="205" t="s">
        <v>3848</v>
      </c>
    </row>
    <row r="977" spans="1:15" s="6" customFormat="1" ht="15.75" thickBot="1" x14ac:dyDescent="0.3">
      <c r="A977" s="87" t="s">
        <v>698</v>
      </c>
      <c r="B977" s="238" t="s">
        <v>702</v>
      </c>
      <c r="C977" s="405" t="s">
        <v>2831</v>
      </c>
      <c r="D977" s="41">
        <v>42.22</v>
      </c>
      <c r="E977" s="41">
        <v>-0.14799999999999999</v>
      </c>
      <c r="F977" s="116">
        <f>AVERAGE(G977:H977)</f>
        <v>5184.5</v>
      </c>
      <c r="G977" s="197">
        <v>5299</v>
      </c>
      <c r="H977" s="197">
        <v>5070</v>
      </c>
      <c r="I977" s="177" t="s">
        <v>168</v>
      </c>
      <c r="J977" s="247" t="s">
        <v>705</v>
      </c>
      <c r="K977" s="331" t="s">
        <v>2929</v>
      </c>
      <c r="L977" s="41" t="s">
        <v>69</v>
      </c>
      <c r="M977" s="331" t="s">
        <v>706</v>
      </c>
      <c r="N977" s="332" t="s">
        <v>707</v>
      </c>
      <c r="O977" s="205" t="s">
        <v>972</v>
      </c>
    </row>
    <row r="978" spans="1:15" s="6" customFormat="1" ht="15.75" thickBot="1" x14ac:dyDescent="0.3">
      <c r="A978" s="87" t="s">
        <v>698</v>
      </c>
      <c r="B978" s="238" t="s">
        <v>702</v>
      </c>
      <c r="C978" s="405" t="s">
        <v>2831</v>
      </c>
      <c r="D978" s="41">
        <v>42.22</v>
      </c>
      <c r="E978" s="41">
        <v>-0.14799999999999999</v>
      </c>
      <c r="F978" s="116">
        <f>AVERAGE(G978:H978)</f>
        <v>5147</v>
      </c>
      <c r="G978" s="197">
        <v>5296</v>
      </c>
      <c r="H978" s="197">
        <v>4998</v>
      </c>
      <c r="I978" s="177" t="s">
        <v>349</v>
      </c>
      <c r="J978" s="247" t="s">
        <v>420</v>
      </c>
      <c r="K978" s="331" t="s">
        <v>2929</v>
      </c>
      <c r="L978" s="41" t="s">
        <v>69</v>
      </c>
      <c r="M978" s="331" t="s">
        <v>708</v>
      </c>
      <c r="N978" s="332" t="s">
        <v>709</v>
      </c>
      <c r="O978" s="205" t="s">
        <v>972</v>
      </c>
    </row>
    <row r="979" spans="1:15" s="100" customFormat="1" ht="16.149999999999999" customHeight="1" thickBot="1" x14ac:dyDescent="0.3">
      <c r="A979" s="107" t="s">
        <v>3859</v>
      </c>
      <c r="B979" s="557" t="s">
        <v>3865</v>
      </c>
      <c r="C979" s="252" t="s">
        <v>2832</v>
      </c>
      <c r="D979" s="90">
        <v>36.58</v>
      </c>
      <c r="E979" s="90">
        <v>-4.57</v>
      </c>
      <c r="F979" s="348">
        <f>(G979+H979)/2</f>
        <v>6000</v>
      </c>
      <c r="G979" s="349">
        <v>8400</v>
      </c>
      <c r="H979" s="349">
        <v>3600</v>
      </c>
      <c r="I979" s="347" t="s">
        <v>669</v>
      </c>
      <c r="J979" s="40" t="s">
        <v>69</v>
      </c>
      <c r="K979" s="417" t="s">
        <v>2513</v>
      </c>
      <c r="L979" s="17" t="s">
        <v>69</v>
      </c>
      <c r="M979" s="525" t="s">
        <v>3860</v>
      </c>
      <c r="N979" s="650" t="s">
        <v>3864</v>
      </c>
      <c r="O979" s="340" t="s">
        <v>4205</v>
      </c>
    </row>
    <row r="980" spans="1:15" s="45" customFormat="1" x14ac:dyDescent="0.25">
      <c r="A980" s="107" t="s">
        <v>778</v>
      </c>
      <c r="B980" s="237" t="s">
        <v>779</v>
      </c>
      <c r="C980" s="252" t="s">
        <v>2832</v>
      </c>
      <c r="D980" s="41">
        <v>36.957000000000001</v>
      </c>
      <c r="E980" s="41">
        <v>-4.5359999999999996</v>
      </c>
      <c r="F980" s="348">
        <f>(G980+H980)/2</f>
        <v>5030</v>
      </c>
      <c r="G980" s="17">
        <v>5280</v>
      </c>
      <c r="H980" s="112">
        <v>4780</v>
      </c>
      <c r="I980" s="97" t="s">
        <v>183</v>
      </c>
      <c r="J980" s="40" t="s">
        <v>69</v>
      </c>
      <c r="K980" s="417" t="s">
        <v>2513</v>
      </c>
      <c r="L980" s="17" t="s">
        <v>69</v>
      </c>
      <c r="M980" s="108" t="s">
        <v>780</v>
      </c>
      <c r="N980" s="230" t="s">
        <v>781</v>
      </c>
      <c r="O980" s="205" t="s">
        <v>3827</v>
      </c>
    </row>
    <row r="981" spans="1:15" s="45" customFormat="1" x14ac:dyDescent="0.25">
      <c r="A981" s="107" t="s">
        <v>778</v>
      </c>
      <c r="B981" s="237" t="s">
        <v>779</v>
      </c>
      <c r="C981" s="252" t="s">
        <v>2832</v>
      </c>
      <c r="D981" s="41">
        <v>36.957000000000001</v>
      </c>
      <c r="E981" s="41">
        <v>-4.5359999999999996</v>
      </c>
      <c r="F981" s="348">
        <f>(G981+H981)/2</f>
        <v>4945</v>
      </c>
      <c r="G981" s="17">
        <v>5040</v>
      </c>
      <c r="H981" s="112">
        <v>4850</v>
      </c>
      <c r="I981" s="97" t="s">
        <v>81</v>
      </c>
      <c r="J981" s="40" t="s">
        <v>782</v>
      </c>
      <c r="K981" s="417" t="s">
        <v>2513</v>
      </c>
      <c r="L981" s="17" t="s">
        <v>14</v>
      </c>
      <c r="M981" s="108" t="s">
        <v>783</v>
      </c>
      <c r="N981" s="230" t="s">
        <v>3828</v>
      </c>
      <c r="O981" s="205" t="s">
        <v>3855</v>
      </c>
    </row>
    <row r="982" spans="1:15" s="45" customFormat="1" x14ac:dyDescent="0.25">
      <c r="A982" s="107" t="s">
        <v>3854</v>
      </c>
      <c r="B982" s="237" t="s">
        <v>779</v>
      </c>
      <c r="C982" s="252" t="s">
        <v>2832</v>
      </c>
      <c r="D982" s="41">
        <v>36.957000000000001</v>
      </c>
      <c r="E982" s="41">
        <v>-4.5359999999999996</v>
      </c>
      <c r="F982" s="348">
        <f t="shared" ref="F982:F988" si="35">(G982+H982)/2</f>
        <v>5030</v>
      </c>
      <c r="G982" s="17">
        <v>5280</v>
      </c>
      <c r="H982" s="112">
        <v>4780</v>
      </c>
      <c r="I982" s="97" t="s">
        <v>784</v>
      </c>
      <c r="J982" s="40" t="s">
        <v>69</v>
      </c>
      <c r="K982" s="417" t="s">
        <v>2513</v>
      </c>
      <c r="L982" s="17" t="s">
        <v>2</v>
      </c>
      <c r="M982" s="108" t="s">
        <v>785</v>
      </c>
      <c r="N982" s="230" t="s">
        <v>3829</v>
      </c>
      <c r="O982" s="205" t="s">
        <v>3852</v>
      </c>
    </row>
    <row r="983" spans="1:15" s="45" customFormat="1" ht="15.75" thickBot="1" x14ac:dyDescent="0.3">
      <c r="A983" s="107" t="s">
        <v>3854</v>
      </c>
      <c r="B983" s="237" t="s">
        <v>779</v>
      </c>
      <c r="C983" s="252" t="s">
        <v>2832</v>
      </c>
      <c r="D983" s="41">
        <v>36.957000000000001</v>
      </c>
      <c r="E983" s="41">
        <v>-4.5359999999999996</v>
      </c>
      <c r="F983" s="348">
        <f t="shared" si="35"/>
        <v>5030</v>
      </c>
      <c r="G983" s="17">
        <v>5280</v>
      </c>
      <c r="H983" s="112">
        <v>4780</v>
      </c>
      <c r="I983" s="97" t="s">
        <v>784</v>
      </c>
      <c r="J983" s="40" t="s">
        <v>69</v>
      </c>
      <c r="K983" s="417" t="s">
        <v>2513</v>
      </c>
      <c r="L983" s="17" t="s">
        <v>2</v>
      </c>
      <c r="M983" s="108" t="s">
        <v>786</v>
      </c>
      <c r="N983" s="230" t="s">
        <v>3830</v>
      </c>
      <c r="O983" s="205" t="s">
        <v>3853</v>
      </c>
    </row>
    <row r="984" spans="1:15" s="45" customFormat="1" ht="15.75" thickBot="1" x14ac:dyDescent="0.3">
      <c r="A984" s="107" t="s">
        <v>3854</v>
      </c>
      <c r="B984" s="237" t="s">
        <v>779</v>
      </c>
      <c r="C984" s="252" t="s">
        <v>2832</v>
      </c>
      <c r="D984" s="41">
        <v>36.957000000000001</v>
      </c>
      <c r="E984" s="41">
        <v>-4.5359999999999996</v>
      </c>
      <c r="F984" s="348">
        <f t="shared" si="35"/>
        <v>5030</v>
      </c>
      <c r="G984" s="17">
        <v>5280</v>
      </c>
      <c r="H984" s="112">
        <v>4780</v>
      </c>
      <c r="I984" s="174" t="s">
        <v>787</v>
      </c>
      <c r="J984" s="40" t="s">
        <v>69</v>
      </c>
      <c r="K984" s="417" t="s">
        <v>2513</v>
      </c>
      <c r="L984" s="17" t="s">
        <v>2</v>
      </c>
      <c r="M984" s="108" t="s">
        <v>788</v>
      </c>
      <c r="N984" s="230" t="s">
        <v>3831</v>
      </c>
      <c r="O984" s="205" t="s">
        <v>3849</v>
      </c>
    </row>
    <row r="985" spans="1:15" s="45" customFormat="1" ht="15.75" thickBot="1" x14ac:dyDescent="0.3">
      <c r="A985" s="107" t="s">
        <v>3854</v>
      </c>
      <c r="B985" s="237" t="s">
        <v>779</v>
      </c>
      <c r="C985" s="252" t="s">
        <v>2832</v>
      </c>
      <c r="D985" s="41">
        <v>36.957000000000001</v>
      </c>
      <c r="E985" s="41">
        <v>-4.5359999999999996</v>
      </c>
      <c r="F985" s="348">
        <f t="shared" si="35"/>
        <v>4940</v>
      </c>
      <c r="G985" s="17">
        <v>5030</v>
      </c>
      <c r="H985" s="112">
        <v>4850</v>
      </c>
      <c r="I985" s="174" t="s">
        <v>168</v>
      </c>
      <c r="J985" s="40" t="s">
        <v>69</v>
      </c>
      <c r="K985" s="417" t="s">
        <v>2513</v>
      </c>
      <c r="L985" s="17" t="s">
        <v>2</v>
      </c>
      <c r="M985" s="108" t="s">
        <v>790</v>
      </c>
      <c r="N985" s="230" t="s">
        <v>791</v>
      </c>
      <c r="O985" s="205" t="s">
        <v>3850</v>
      </c>
    </row>
    <row r="986" spans="1:15" s="45" customFormat="1" x14ac:dyDescent="0.25">
      <c r="A986" s="107" t="s">
        <v>778</v>
      </c>
      <c r="B986" s="237" t="s">
        <v>779</v>
      </c>
      <c r="C986" s="252" t="s">
        <v>2832</v>
      </c>
      <c r="D986" s="41">
        <v>36.957000000000001</v>
      </c>
      <c r="E986" s="41">
        <v>-4.5359999999999996</v>
      </c>
      <c r="F986" s="348">
        <f t="shared" si="35"/>
        <v>5030</v>
      </c>
      <c r="G986" s="17">
        <v>5280</v>
      </c>
      <c r="H986" s="112">
        <v>4780</v>
      </c>
      <c r="I986" s="97" t="s">
        <v>81</v>
      </c>
      <c r="J986" s="40" t="s">
        <v>69</v>
      </c>
      <c r="K986" s="417" t="s">
        <v>2513</v>
      </c>
      <c r="L986" s="17" t="s">
        <v>14</v>
      </c>
      <c r="M986" s="108" t="s">
        <v>792</v>
      </c>
      <c r="N986" s="230" t="s">
        <v>793</v>
      </c>
      <c r="O986" s="205"/>
    </row>
    <row r="987" spans="1:15" s="45" customFormat="1" x14ac:dyDescent="0.25">
      <c r="A987" s="107" t="s">
        <v>674</v>
      </c>
      <c r="B987" s="237" t="s">
        <v>796</v>
      </c>
      <c r="C987" s="252" t="s">
        <v>2832</v>
      </c>
      <c r="D987" s="41">
        <v>37.542000000000002</v>
      </c>
      <c r="E987" s="41">
        <v>-4.3029999999999999</v>
      </c>
      <c r="F987" s="348">
        <f>(G987+H987)/2</f>
        <v>5185</v>
      </c>
      <c r="G987" s="17">
        <v>5295</v>
      </c>
      <c r="H987" s="112">
        <v>5075</v>
      </c>
      <c r="I987" s="97" t="s">
        <v>797</v>
      </c>
      <c r="J987" s="40" t="s">
        <v>2290</v>
      </c>
      <c r="K987" s="417" t="s">
        <v>2513</v>
      </c>
      <c r="L987" s="17" t="s">
        <v>69</v>
      </c>
      <c r="M987" s="195" t="s">
        <v>2289</v>
      </c>
      <c r="N987" s="230" t="s">
        <v>798</v>
      </c>
      <c r="O987" s="205"/>
    </row>
    <row r="988" spans="1:15" s="45" customFormat="1" ht="15.75" thickBot="1" x14ac:dyDescent="0.3">
      <c r="A988" s="107" t="s">
        <v>1975</v>
      </c>
      <c r="B988" s="237" t="s">
        <v>2395</v>
      </c>
      <c r="C988" s="252" t="s">
        <v>794</v>
      </c>
      <c r="D988" s="41">
        <v>36.132004000000002</v>
      </c>
      <c r="E988" s="41">
        <v>-5.3437729999999997</v>
      </c>
      <c r="F988" s="348">
        <f t="shared" si="35"/>
        <v>5000</v>
      </c>
      <c r="G988" s="17">
        <v>5500</v>
      </c>
      <c r="H988" s="112">
        <v>4500</v>
      </c>
      <c r="I988" s="97" t="s">
        <v>128</v>
      </c>
      <c r="J988" s="40" t="s">
        <v>69</v>
      </c>
      <c r="K988" s="417" t="s">
        <v>2513</v>
      </c>
      <c r="L988" s="17" t="s">
        <v>2</v>
      </c>
      <c r="M988" s="108" t="s">
        <v>795</v>
      </c>
      <c r="N988" s="230"/>
      <c r="O988" s="205"/>
    </row>
    <row r="989" spans="1:15" ht="15.75" thickBot="1" x14ac:dyDescent="0.3">
      <c r="A989" s="107" t="s">
        <v>384</v>
      </c>
      <c r="B989" s="237" t="s">
        <v>962</v>
      </c>
      <c r="C989" s="252" t="s">
        <v>4235</v>
      </c>
      <c r="D989" s="17">
        <v>38.760182999999998</v>
      </c>
      <c r="E989" s="17">
        <v>-0.58241699999999996</v>
      </c>
      <c r="F989" s="118">
        <v>5274</v>
      </c>
      <c r="G989" s="17">
        <v>5321</v>
      </c>
      <c r="H989" s="112">
        <v>5227</v>
      </c>
      <c r="I989" s="174" t="s">
        <v>669</v>
      </c>
      <c r="J989" s="40" t="s">
        <v>69</v>
      </c>
      <c r="K989" s="417" t="s">
        <v>2513</v>
      </c>
      <c r="L989" s="17" t="s">
        <v>14</v>
      </c>
      <c r="M989" s="108" t="s">
        <v>963</v>
      </c>
      <c r="O989" s="205"/>
    </row>
    <row r="990" spans="1:15" x14ac:dyDescent="0.25">
      <c r="A990" s="107" t="s">
        <v>384</v>
      </c>
      <c r="B990" s="237" t="s">
        <v>964</v>
      </c>
      <c r="C990" s="252" t="s">
        <v>4235</v>
      </c>
      <c r="D990" s="17">
        <v>38.844675000000002</v>
      </c>
      <c r="E990" s="17">
        <v>-0.36411900000000003</v>
      </c>
      <c r="F990" s="118">
        <v>5335</v>
      </c>
      <c r="G990" s="17">
        <v>5360</v>
      </c>
      <c r="H990" s="112">
        <v>5310</v>
      </c>
      <c r="I990" s="97" t="s">
        <v>153</v>
      </c>
      <c r="J990" s="40" t="s">
        <v>69</v>
      </c>
      <c r="K990" s="417" t="s">
        <v>2513</v>
      </c>
      <c r="L990" s="17" t="s">
        <v>14</v>
      </c>
      <c r="M990" s="108" t="s">
        <v>965</v>
      </c>
      <c r="O990" s="205"/>
    </row>
    <row r="991" spans="1:15" x14ac:dyDescent="0.25">
      <c r="A991" s="107" t="s">
        <v>393</v>
      </c>
      <c r="B991" s="238" t="s">
        <v>194</v>
      </c>
      <c r="C991" s="208" t="s">
        <v>3832</v>
      </c>
      <c r="D991" s="41">
        <v>42.558639999999997</v>
      </c>
      <c r="E991" s="41">
        <v>-2.1881789999999999</v>
      </c>
      <c r="F991" s="116">
        <v>4932.5</v>
      </c>
      <c r="G991" s="27">
        <v>5310</v>
      </c>
      <c r="H991" s="112">
        <v>4555</v>
      </c>
      <c r="I991" s="97" t="s">
        <v>18</v>
      </c>
      <c r="J991" s="40" t="s">
        <v>69</v>
      </c>
      <c r="K991" s="194" t="s">
        <v>2930</v>
      </c>
      <c r="L991" s="17" t="s">
        <v>69</v>
      </c>
      <c r="M991" s="108" t="s">
        <v>195</v>
      </c>
      <c r="O991" s="205" t="s">
        <v>2716</v>
      </c>
    </row>
    <row r="992" spans="1:15" x14ac:dyDescent="0.25">
      <c r="A992" s="107" t="s">
        <v>393</v>
      </c>
      <c r="B992" s="238" t="s">
        <v>194</v>
      </c>
      <c r="C992" s="208" t="s">
        <v>3832</v>
      </c>
      <c r="D992" s="41">
        <v>42.558639999999997</v>
      </c>
      <c r="E992" s="41">
        <v>-2.1881789999999999</v>
      </c>
      <c r="F992" s="116">
        <v>4932.5</v>
      </c>
      <c r="G992" s="27">
        <v>5310</v>
      </c>
      <c r="H992" s="112">
        <v>4555</v>
      </c>
      <c r="I992" s="97" t="s">
        <v>18</v>
      </c>
      <c r="J992" s="40" t="s">
        <v>69</v>
      </c>
      <c r="K992" s="194" t="s">
        <v>2930</v>
      </c>
      <c r="L992" s="17" t="s">
        <v>69</v>
      </c>
      <c r="M992" s="108" t="s">
        <v>196</v>
      </c>
      <c r="O992" s="205" t="s">
        <v>2716</v>
      </c>
    </row>
    <row r="993" spans="1:15" x14ac:dyDescent="0.25">
      <c r="A993" s="107" t="s">
        <v>393</v>
      </c>
      <c r="B993" s="238" t="s">
        <v>194</v>
      </c>
      <c r="C993" s="208" t="s">
        <v>3832</v>
      </c>
      <c r="D993" s="41">
        <v>42.558639999999997</v>
      </c>
      <c r="E993" s="41">
        <v>-2.1881789999999999</v>
      </c>
      <c r="F993" s="116">
        <v>4932.5</v>
      </c>
      <c r="G993" s="27">
        <v>5310</v>
      </c>
      <c r="H993" s="112">
        <v>4555</v>
      </c>
      <c r="I993" s="97" t="s">
        <v>18</v>
      </c>
      <c r="J993" s="40" t="s">
        <v>69</v>
      </c>
      <c r="K993" s="194" t="s">
        <v>2930</v>
      </c>
      <c r="L993" s="17" t="s">
        <v>69</v>
      </c>
      <c r="M993" s="108" t="s">
        <v>197</v>
      </c>
      <c r="O993" s="205" t="s">
        <v>2716</v>
      </c>
    </row>
    <row r="994" spans="1:15" x14ac:dyDescent="0.25">
      <c r="A994" s="107" t="s">
        <v>393</v>
      </c>
      <c r="B994" s="238" t="s">
        <v>194</v>
      </c>
      <c r="C994" s="208" t="s">
        <v>3832</v>
      </c>
      <c r="D994" s="41">
        <v>42.558639999999997</v>
      </c>
      <c r="E994" s="41">
        <v>-2.1881789999999999</v>
      </c>
      <c r="F994" s="116">
        <v>4932.5</v>
      </c>
      <c r="G994" s="27">
        <v>5310</v>
      </c>
      <c r="H994" s="112">
        <v>4555</v>
      </c>
      <c r="I994" s="97" t="s">
        <v>18</v>
      </c>
      <c r="J994" s="40" t="s">
        <v>69</v>
      </c>
      <c r="K994" s="194" t="s">
        <v>2930</v>
      </c>
      <c r="L994" s="17" t="s">
        <v>69</v>
      </c>
      <c r="M994" s="108" t="s">
        <v>198</v>
      </c>
      <c r="O994" s="205" t="s">
        <v>2716</v>
      </c>
    </row>
    <row r="995" spans="1:15" x14ac:dyDescent="0.25">
      <c r="A995" s="107" t="s">
        <v>393</v>
      </c>
      <c r="B995" s="238" t="s">
        <v>194</v>
      </c>
      <c r="C995" s="208" t="s">
        <v>3832</v>
      </c>
      <c r="D995" s="41">
        <v>42.558639999999997</v>
      </c>
      <c r="E995" s="41">
        <v>-2.1881789999999999</v>
      </c>
      <c r="F995" s="116">
        <v>4932.5</v>
      </c>
      <c r="G995" s="27">
        <v>5310</v>
      </c>
      <c r="H995" s="112">
        <v>4555</v>
      </c>
      <c r="I995" s="97" t="s">
        <v>18</v>
      </c>
      <c r="J995" s="40" t="s">
        <v>69</v>
      </c>
      <c r="K995" s="194" t="s">
        <v>2930</v>
      </c>
      <c r="L995" s="17" t="s">
        <v>69</v>
      </c>
      <c r="M995" s="108" t="s">
        <v>199</v>
      </c>
      <c r="O995" s="205" t="s">
        <v>2716</v>
      </c>
    </row>
    <row r="996" spans="1:15" x14ac:dyDescent="0.25">
      <c r="A996" s="107" t="s">
        <v>393</v>
      </c>
      <c r="B996" s="238" t="s">
        <v>194</v>
      </c>
      <c r="C996" s="208" t="s">
        <v>3832</v>
      </c>
      <c r="D996" s="41">
        <v>42.558639999999997</v>
      </c>
      <c r="E996" s="41">
        <v>-2.1881789999999999</v>
      </c>
      <c r="F996" s="116">
        <v>4932.5</v>
      </c>
      <c r="G996" s="27">
        <v>5310</v>
      </c>
      <c r="H996" s="112">
        <v>4555</v>
      </c>
      <c r="I996" s="97" t="s">
        <v>18</v>
      </c>
      <c r="J996" s="40" t="s">
        <v>69</v>
      </c>
      <c r="K996" s="194" t="s">
        <v>2930</v>
      </c>
      <c r="L996" s="17" t="s">
        <v>69</v>
      </c>
      <c r="M996" s="108" t="s">
        <v>200</v>
      </c>
      <c r="O996" s="205" t="s">
        <v>2716</v>
      </c>
    </row>
    <row r="997" spans="1:15" x14ac:dyDescent="0.25">
      <c r="A997" s="107" t="s">
        <v>393</v>
      </c>
      <c r="B997" s="238" t="s">
        <v>194</v>
      </c>
      <c r="C997" s="208" t="s">
        <v>3832</v>
      </c>
      <c r="D997" s="41">
        <v>42.558639999999997</v>
      </c>
      <c r="E997" s="41">
        <v>-2.1881789999999999</v>
      </c>
      <c r="F997" s="116">
        <v>4932.5</v>
      </c>
      <c r="G997" s="27">
        <v>5310</v>
      </c>
      <c r="H997" s="112">
        <v>4555</v>
      </c>
      <c r="I997" s="97" t="s">
        <v>18</v>
      </c>
      <c r="J997" s="40" t="s">
        <v>69</v>
      </c>
      <c r="K997" s="194" t="s">
        <v>2930</v>
      </c>
      <c r="L997" s="17" t="s">
        <v>69</v>
      </c>
      <c r="M997" s="108" t="s">
        <v>201</v>
      </c>
      <c r="O997" s="205" t="s">
        <v>2716</v>
      </c>
    </row>
    <row r="998" spans="1:15" x14ac:dyDescent="0.25">
      <c r="A998" s="107" t="s">
        <v>393</v>
      </c>
      <c r="B998" s="238" t="s">
        <v>194</v>
      </c>
      <c r="C998" s="208" t="s">
        <v>3832</v>
      </c>
      <c r="D998" s="41">
        <v>42.558639999999997</v>
      </c>
      <c r="E998" s="41">
        <v>-2.1881789999999999</v>
      </c>
      <c r="F998" s="116">
        <v>4932.5</v>
      </c>
      <c r="G998" s="27">
        <v>5310</v>
      </c>
      <c r="H998" s="112">
        <v>4555</v>
      </c>
      <c r="I998" s="97" t="s">
        <v>18</v>
      </c>
      <c r="J998" s="40" t="s">
        <v>69</v>
      </c>
      <c r="K998" s="194" t="s">
        <v>2930</v>
      </c>
      <c r="L998" s="17" t="s">
        <v>69</v>
      </c>
      <c r="M998" s="108" t="s">
        <v>202</v>
      </c>
      <c r="O998" s="205" t="s">
        <v>2716</v>
      </c>
    </row>
    <row r="999" spans="1:15" x14ac:dyDescent="0.25">
      <c r="A999" s="107" t="s">
        <v>393</v>
      </c>
      <c r="B999" s="238" t="s">
        <v>194</v>
      </c>
      <c r="C999" s="208" t="s">
        <v>3832</v>
      </c>
      <c r="D999" s="41">
        <v>42.558639999999997</v>
      </c>
      <c r="E999" s="41">
        <v>-2.1881789999999999</v>
      </c>
      <c r="F999" s="116">
        <v>4932.5</v>
      </c>
      <c r="G999" s="27">
        <v>5310</v>
      </c>
      <c r="H999" s="112">
        <v>4555</v>
      </c>
      <c r="I999" s="97" t="s">
        <v>18</v>
      </c>
      <c r="J999" s="40" t="s">
        <v>69</v>
      </c>
      <c r="K999" s="194" t="s">
        <v>2930</v>
      </c>
      <c r="L999" s="17" t="s">
        <v>69</v>
      </c>
      <c r="M999" s="108" t="s">
        <v>203</v>
      </c>
      <c r="O999" s="205" t="s">
        <v>2716</v>
      </c>
    </row>
    <row r="1000" spans="1:15" x14ac:dyDescent="0.25">
      <c r="A1000" s="107" t="s">
        <v>393</v>
      </c>
      <c r="B1000" s="238" t="s">
        <v>194</v>
      </c>
      <c r="C1000" s="208" t="s">
        <v>3832</v>
      </c>
      <c r="D1000" s="41">
        <v>42.558639999999997</v>
      </c>
      <c r="E1000" s="41">
        <v>-2.1881789999999999</v>
      </c>
      <c r="F1000" s="116">
        <v>4932.5</v>
      </c>
      <c r="G1000" s="27">
        <v>5310</v>
      </c>
      <c r="H1000" s="112">
        <v>4555</v>
      </c>
      <c r="I1000" s="97" t="s">
        <v>18</v>
      </c>
      <c r="J1000" s="40" t="s">
        <v>69</v>
      </c>
      <c r="K1000" s="194" t="s">
        <v>2930</v>
      </c>
      <c r="L1000" s="17" t="s">
        <v>69</v>
      </c>
      <c r="M1000" s="108" t="s">
        <v>204</v>
      </c>
      <c r="O1000" s="205" t="s">
        <v>2716</v>
      </c>
    </row>
    <row r="1001" spans="1:15" s="45" customFormat="1" x14ac:dyDescent="0.25">
      <c r="A1001" s="107" t="s">
        <v>393</v>
      </c>
      <c r="B1001" s="238" t="s">
        <v>194</v>
      </c>
      <c r="C1001" s="208" t="s">
        <v>3832</v>
      </c>
      <c r="D1001" s="41">
        <v>42.558639999999997</v>
      </c>
      <c r="E1001" s="41">
        <v>-2.1881789999999999</v>
      </c>
      <c r="F1001" s="116">
        <v>4932.5</v>
      </c>
      <c r="G1001" s="27">
        <v>5310</v>
      </c>
      <c r="H1001" s="112">
        <v>4555</v>
      </c>
      <c r="I1001" s="97" t="s">
        <v>18</v>
      </c>
      <c r="J1001" s="40" t="s">
        <v>69</v>
      </c>
      <c r="K1001" s="194" t="s">
        <v>2930</v>
      </c>
      <c r="L1001" s="17" t="s">
        <v>69</v>
      </c>
      <c r="M1001" s="108" t="s">
        <v>205</v>
      </c>
      <c r="N1001" s="230"/>
      <c r="O1001" s="205" t="s">
        <v>2716</v>
      </c>
    </row>
    <row r="1002" spans="1:15" s="45" customFormat="1" x14ac:dyDescent="0.25">
      <c r="A1002" s="107" t="s">
        <v>393</v>
      </c>
      <c r="B1002" s="238" t="s">
        <v>194</v>
      </c>
      <c r="C1002" s="208" t="s">
        <v>3832</v>
      </c>
      <c r="D1002" s="41">
        <v>42.558639999999997</v>
      </c>
      <c r="E1002" s="41">
        <v>-2.1881789999999999</v>
      </c>
      <c r="F1002" s="116">
        <v>4932.5</v>
      </c>
      <c r="G1002" s="27">
        <v>5310</v>
      </c>
      <c r="H1002" s="112">
        <v>4555</v>
      </c>
      <c r="I1002" s="97" t="s">
        <v>18</v>
      </c>
      <c r="J1002" s="40" t="s">
        <v>69</v>
      </c>
      <c r="K1002" s="194" t="s">
        <v>2930</v>
      </c>
      <c r="L1002" s="17" t="s">
        <v>69</v>
      </c>
      <c r="M1002" s="108" t="s">
        <v>206</v>
      </c>
      <c r="N1002" s="230"/>
      <c r="O1002" s="205" t="s">
        <v>2716</v>
      </c>
    </row>
    <row r="1003" spans="1:15" s="2" customFormat="1" x14ac:dyDescent="0.25">
      <c r="A1003" s="107" t="s">
        <v>393</v>
      </c>
      <c r="B1003" s="238" t="s">
        <v>207</v>
      </c>
      <c r="C1003" s="208" t="s">
        <v>3832</v>
      </c>
      <c r="D1003" s="41">
        <v>42.795321000000001</v>
      </c>
      <c r="E1003" s="41">
        <v>-1.7580849999999999</v>
      </c>
      <c r="F1003" s="116">
        <v>4967.5</v>
      </c>
      <c r="G1003" s="27">
        <v>5207</v>
      </c>
      <c r="H1003" s="112">
        <v>4728</v>
      </c>
      <c r="I1003" s="97" t="s">
        <v>18</v>
      </c>
      <c r="J1003" s="40" t="s">
        <v>69</v>
      </c>
      <c r="K1003" s="194" t="s">
        <v>2930</v>
      </c>
      <c r="L1003" s="17" t="s">
        <v>69</v>
      </c>
      <c r="M1003" s="108" t="s">
        <v>208</v>
      </c>
      <c r="N1003" s="230"/>
      <c r="O1003" s="205" t="s">
        <v>2716</v>
      </c>
    </row>
    <row r="1004" spans="1:15" s="45" customFormat="1" x14ac:dyDescent="0.25">
      <c r="A1004" s="107" t="s">
        <v>393</v>
      </c>
      <c r="B1004" s="238" t="s">
        <v>207</v>
      </c>
      <c r="C1004" s="208" t="s">
        <v>3832</v>
      </c>
      <c r="D1004" s="41">
        <v>42.795321000000001</v>
      </c>
      <c r="E1004" s="41">
        <v>-1.7580849999999999</v>
      </c>
      <c r="F1004" s="116">
        <v>4967.5</v>
      </c>
      <c r="G1004" s="27">
        <v>5207</v>
      </c>
      <c r="H1004" s="112">
        <v>4728</v>
      </c>
      <c r="I1004" s="97" t="s">
        <v>18</v>
      </c>
      <c r="J1004" s="40" t="s">
        <v>69</v>
      </c>
      <c r="K1004" s="194" t="s">
        <v>2930</v>
      </c>
      <c r="L1004" s="17" t="s">
        <v>69</v>
      </c>
      <c r="M1004" s="108" t="s">
        <v>209</v>
      </c>
      <c r="N1004" s="230"/>
      <c r="O1004" s="205" t="s">
        <v>2716</v>
      </c>
    </row>
    <row r="1005" spans="1:15" x14ac:dyDescent="0.25">
      <c r="A1005" s="107" t="s">
        <v>393</v>
      </c>
      <c r="B1005" s="238" t="s">
        <v>207</v>
      </c>
      <c r="C1005" s="208" t="s">
        <v>3832</v>
      </c>
      <c r="D1005" s="41">
        <v>42.795321000000001</v>
      </c>
      <c r="E1005" s="41">
        <v>-1.7580849999999999</v>
      </c>
      <c r="F1005" s="116">
        <v>4967.5</v>
      </c>
      <c r="G1005" s="27">
        <v>5207</v>
      </c>
      <c r="H1005" s="112">
        <v>4728</v>
      </c>
      <c r="I1005" s="97" t="s">
        <v>18</v>
      </c>
      <c r="J1005" s="40" t="s">
        <v>69</v>
      </c>
      <c r="K1005" s="194" t="s">
        <v>2930</v>
      </c>
      <c r="L1005" s="17" t="s">
        <v>69</v>
      </c>
      <c r="M1005" s="108" t="s">
        <v>210</v>
      </c>
      <c r="O1005" s="205" t="s">
        <v>2716</v>
      </c>
    </row>
    <row r="1006" spans="1:15" x14ac:dyDescent="0.25">
      <c r="A1006" s="107" t="s">
        <v>393</v>
      </c>
      <c r="B1006" s="238" t="s">
        <v>207</v>
      </c>
      <c r="C1006" s="208" t="s">
        <v>3832</v>
      </c>
      <c r="D1006" s="41">
        <v>42.795321000000001</v>
      </c>
      <c r="E1006" s="41">
        <v>-1.7580849999999999</v>
      </c>
      <c r="F1006" s="116">
        <v>4967.5</v>
      </c>
      <c r="G1006" s="27">
        <v>5207</v>
      </c>
      <c r="H1006" s="112">
        <v>4728</v>
      </c>
      <c r="I1006" s="97" t="s">
        <v>3</v>
      </c>
      <c r="J1006" s="40" t="s">
        <v>69</v>
      </c>
      <c r="K1006" s="194" t="s">
        <v>2930</v>
      </c>
      <c r="L1006" s="17" t="s">
        <v>2</v>
      </c>
      <c r="M1006" s="108" t="s">
        <v>211</v>
      </c>
      <c r="O1006" s="205" t="s">
        <v>2716</v>
      </c>
    </row>
    <row r="1007" spans="1:15" x14ac:dyDescent="0.25">
      <c r="A1007" s="107" t="s">
        <v>393</v>
      </c>
      <c r="B1007" s="238" t="s">
        <v>207</v>
      </c>
      <c r="C1007" s="208" t="s">
        <v>3832</v>
      </c>
      <c r="D1007" s="41">
        <v>42.795321000000001</v>
      </c>
      <c r="E1007" s="41">
        <v>-1.7580849999999999</v>
      </c>
      <c r="F1007" s="116">
        <v>4967.5</v>
      </c>
      <c r="G1007" s="27">
        <v>5207</v>
      </c>
      <c r="H1007" s="112">
        <v>4728</v>
      </c>
      <c r="I1007" s="97" t="s">
        <v>3</v>
      </c>
      <c r="J1007" s="40" t="s">
        <v>69</v>
      </c>
      <c r="K1007" s="194" t="s">
        <v>2930</v>
      </c>
      <c r="L1007" s="17" t="s">
        <v>69</v>
      </c>
      <c r="M1007" s="108" t="s">
        <v>212</v>
      </c>
      <c r="O1007" s="205" t="s">
        <v>2716</v>
      </c>
    </row>
    <row r="1008" spans="1:15" x14ac:dyDescent="0.25">
      <c r="A1008" s="107" t="s">
        <v>393</v>
      </c>
      <c r="B1008" s="238" t="s">
        <v>207</v>
      </c>
      <c r="C1008" s="208" t="s">
        <v>3832</v>
      </c>
      <c r="D1008" s="41">
        <v>42.795321000000001</v>
      </c>
      <c r="E1008" s="41">
        <v>-1.7580849999999999</v>
      </c>
      <c r="F1008" s="116">
        <v>4967.5</v>
      </c>
      <c r="G1008" s="27">
        <v>5207</v>
      </c>
      <c r="H1008" s="112">
        <v>4728</v>
      </c>
      <c r="I1008" s="97" t="s">
        <v>32</v>
      </c>
      <c r="J1008" s="40" t="s">
        <v>69</v>
      </c>
      <c r="K1008" s="194" t="s">
        <v>2930</v>
      </c>
      <c r="L1008" s="17" t="s">
        <v>2</v>
      </c>
      <c r="M1008" s="108" t="s">
        <v>213</v>
      </c>
      <c r="O1008" s="205" t="s">
        <v>2716</v>
      </c>
    </row>
    <row r="1009" spans="1:15" x14ac:dyDescent="0.25">
      <c r="A1009" s="107" t="s">
        <v>393</v>
      </c>
      <c r="B1009" s="238" t="s">
        <v>207</v>
      </c>
      <c r="C1009" s="208" t="s">
        <v>3832</v>
      </c>
      <c r="D1009" s="41">
        <v>42.795321000000001</v>
      </c>
      <c r="E1009" s="41">
        <v>-1.7580849999999999</v>
      </c>
      <c r="F1009" s="116">
        <v>4967.5</v>
      </c>
      <c r="G1009" s="27">
        <v>5207</v>
      </c>
      <c r="H1009" s="112">
        <v>4728</v>
      </c>
      <c r="I1009" s="97" t="s">
        <v>80</v>
      </c>
      <c r="J1009" s="40" t="s">
        <v>69</v>
      </c>
      <c r="K1009" s="194" t="s">
        <v>2930</v>
      </c>
      <c r="L1009" s="17" t="s">
        <v>14</v>
      </c>
      <c r="M1009" s="108" t="s">
        <v>214</v>
      </c>
      <c r="O1009" s="205" t="s">
        <v>2716</v>
      </c>
    </row>
    <row r="1010" spans="1:15" x14ac:dyDescent="0.25">
      <c r="A1010" s="107" t="s">
        <v>393</v>
      </c>
      <c r="B1010" s="238" t="s">
        <v>194</v>
      </c>
      <c r="C1010" s="208" t="s">
        <v>3832</v>
      </c>
      <c r="D1010" s="41">
        <v>42.558639999999997</v>
      </c>
      <c r="E1010" s="41">
        <v>-2.1881789999999999</v>
      </c>
      <c r="F1010" s="116">
        <v>4932.5</v>
      </c>
      <c r="G1010" s="27">
        <v>5310</v>
      </c>
      <c r="H1010" s="112">
        <v>4555</v>
      </c>
      <c r="I1010" s="97" t="s">
        <v>34</v>
      </c>
      <c r="J1010" s="40" t="s">
        <v>69</v>
      </c>
      <c r="K1010" s="194" t="s">
        <v>2930</v>
      </c>
      <c r="L1010" s="17" t="s">
        <v>69</v>
      </c>
      <c r="M1010" s="108" t="s">
        <v>215</v>
      </c>
      <c r="O1010" s="205" t="s">
        <v>2716</v>
      </c>
    </row>
    <row r="1011" spans="1:15" ht="15.75" thickBot="1" x14ac:dyDescent="0.3">
      <c r="A1011" s="107" t="s">
        <v>393</v>
      </c>
      <c r="B1011" s="238" t="s">
        <v>194</v>
      </c>
      <c r="C1011" s="208" t="s">
        <v>3832</v>
      </c>
      <c r="D1011" s="41">
        <v>42.558639999999997</v>
      </c>
      <c r="E1011" s="41">
        <v>-2.1881789999999999</v>
      </c>
      <c r="F1011" s="116">
        <v>4932.5</v>
      </c>
      <c r="G1011" s="27">
        <v>5310</v>
      </c>
      <c r="H1011" s="112">
        <v>4555</v>
      </c>
      <c r="I1011" s="97" t="s">
        <v>34</v>
      </c>
      <c r="J1011" s="40" t="s">
        <v>69</v>
      </c>
      <c r="K1011" s="194" t="s">
        <v>2930</v>
      </c>
      <c r="L1011" s="17" t="s">
        <v>69</v>
      </c>
      <c r="M1011" s="108" t="s">
        <v>216</v>
      </c>
      <c r="O1011" s="205" t="s">
        <v>2716</v>
      </c>
    </row>
    <row r="1012" spans="1:15" ht="15.75" thickBot="1" x14ac:dyDescent="0.3">
      <c r="A1012" s="107" t="s">
        <v>393</v>
      </c>
      <c r="B1012" s="238" t="s">
        <v>207</v>
      </c>
      <c r="C1012" s="208" t="s">
        <v>3832</v>
      </c>
      <c r="D1012" s="41">
        <v>42.795321000000001</v>
      </c>
      <c r="E1012" s="41">
        <v>-1.7580849999999999</v>
      </c>
      <c r="F1012" s="116">
        <v>4967.5</v>
      </c>
      <c r="G1012" s="27">
        <v>5207</v>
      </c>
      <c r="H1012" s="112">
        <v>4728</v>
      </c>
      <c r="I1012" s="174" t="s">
        <v>43</v>
      </c>
      <c r="J1012" s="40" t="s">
        <v>69</v>
      </c>
      <c r="K1012" s="194" t="s">
        <v>2930</v>
      </c>
      <c r="L1012" s="17" t="s">
        <v>2</v>
      </c>
      <c r="M1012" s="108" t="s">
        <v>217</v>
      </c>
      <c r="O1012" s="205" t="s">
        <v>2716</v>
      </c>
    </row>
    <row r="1013" spans="1:15" ht="15.75" thickBot="1" x14ac:dyDescent="0.3">
      <c r="A1013" s="107" t="s">
        <v>393</v>
      </c>
      <c r="B1013" s="238" t="s">
        <v>194</v>
      </c>
      <c r="C1013" s="208" t="s">
        <v>3832</v>
      </c>
      <c r="D1013" s="41">
        <v>42.558639999999997</v>
      </c>
      <c r="E1013" s="41">
        <v>-2.1881789999999999</v>
      </c>
      <c r="F1013" s="116">
        <v>4932.5</v>
      </c>
      <c r="G1013" s="27">
        <v>5310</v>
      </c>
      <c r="H1013" s="112">
        <v>4555</v>
      </c>
      <c r="I1013" s="174" t="s">
        <v>6</v>
      </c>
      <c r="J1013" s="40" t="s">
        <v>69</v>
      </c>
      <c r="K1013" s="194" t="s">
        <v>2930</v>
      </c>
      <c r="L1013" s="17" t="s">
        <v>69</v>
      </c>
      <c r="M1013" s="108" t="s">
        <v>218</v>
      </c>
      <c r="O1013" s="205" t="s">
        <v>3833</v>
      </c>
    </row>
    <row r="1014" spans="1:15" ht="15.75" thickBot="1" x14ac:dyDescent="0.3">
      <c r="A1014" s="107" t="s">
        <v>393</v>
      </c>
      <c r="B1014" s="238" t="s">
        <v>194</v>
      </c>
      <c r="C1014" s="208" t="s">
        <v>3832</v>
      </c>
      <c r="D1014" s="41">
        <v>42.558639999999997</v>
      </c>
      <c r="E1014" s="41">
        <v>-2.1881789999999999</v>
      </c>
      <c r="F1014" s="116">
        <v>4932.5</v>
      </c>
      <c r="G1014" s="27">
        <v>5310</v>
      </c>
      <c r="H1014" s="112">
        <v>4555</v>
      </c>
      <c r="I1014" s="174" t="s">
        <v>6</v>
      </c>
      <c r="J1014" s="40" t="s">
        <v>69</v>
      </c>
      <c r="K1014" s="194" t="s">
        <v>2930</v>
      </c>
      <c r="L1014" s="17" t="s">
        <v>69</v>
      </c>
      <c r="M1014" s="108" t="s">
        <v>223</v>
      </c>
      <c r="O1014" s="205" t="s">
        <v>3833</v>
      </c>
    </row>
    <row r="1015" spans="1:15" ht="15.75" thickBot="1" x14ac:dyDescent="0.3">
      <c r="A1015" s="107" t="s">
        <v>393</v>
      </c>
      <c r="B1015" s="238" t="s">
        <v>194</v>
      </c>
      <c r="C1015" s="208" t="s">
        <v>3832</v>
      </c>
      <c r="D1015" s="41">
        <v>42.558639999999997</v>
      </c>
      <c r="E1015" s="41">
        <v>-2.1881789999999999</v>
      </c>
      <c r="F1015" s="116">
        <v>4932.5</v>
      </c>
      <c r="G1015" s="27">
        <v>5310</v>
      </c>
      <c r="H1015" s="112">
        <v>4555</v>
      </c>
      <c r="I1015" s="174" t="s">
        <v>6</v>
      </c>
      <c r="J1015" s="40" t="s">
        <v>69</v>
      </c>
      <c r="K1015" s="194" t="s">
        <v>2930</v>
      </c>
      <c r="L1015" s="17" t="s">
        <v>69</v>
      </c>
      <c r="M1015" s="108" t="s">
        <v>220</v>
      </c>
      <c r="O1015" s="205" t="s">
        <v>3833</v>
      </c>
    </row>
    <row r="1016" spans="1:15" x14ac:dyDescent="0.25">
      <c r="A1016" s="107" t="s">
        <v>393</v>
      </c>
      <c r="B1016" s="238" t="s">
        <v>194</v>
      </c>
      <c r="C1016" s="208" t="s">
        <v>3832</v>
      </c>
      <c r="D1016" s="41">
        <v>42.558639999999997</v>
      </c>
      <c r="E1016" s="41">
        <v>-2.1881789999999999</v>
      </c>
      <c r="F1016" s="116">
        <v>4932.5</v>
      </c>
      <c r="G1016" s="27">
        <v>5310</v>
      </c>
      <c r="H1016" s="112">
        <v>4555</v>
      </c>
      <c r="I1016" s="97" t="s">
        <v>109</v>
      </c>
      <c r="J1016" s="40" t="s">
        <v>69</v>
      </c>
      <c r="K1016" s="194" t="s">
        <v>2930</v>
      </c>
      <c r="L1016" s="17" t="s">
        <v>69</v>
      </c>
      <c r="M1016" s="108" t="s">
        <v>221</v>
      </c>
      <c r="O1016" s="205" t="s">
        <v>2716</v>
      </c>
    </row>
    <row r="1017" spans="1:15" x14ac:dyDescent="0.25">
      <c r="A1017" s="107" t="s">
        <v>393</v>
      </c>
      <c r="B1017" s="238" t="s">
        <v>194</v>
      </c>
      <c r="C1017" s="208" t="s">
        <v>3832</v>
      </c>
      <c r="D1017" s="41">
        <v>42.558639999999997</v>
      </c>
      <c r="E1017" s="41">
        <v>-2.1881789999999999</v>
      </c>
      <c r="F1017" s="116">
        <v>4932.5</v>
      </c>
      <c r="G1017" s="27">
        <v>5310</v>
      </c>
      <c r="H1017" s="112">
        <v>4555</v>
      </c>
      <c r="I1017" s="97" t="s">
        <v>8</v>
      </c>
      <c r="J1017" s="40" t="s">
        <v>69</v>
      </c>
      <c r="K1017" s="194" t="s">
        <v>2930</v>
      </c>
      <c r="L1017" s="17" t="s">
        <v>69</v>
      </c>
      <c r="M1017" s="108" t="s">
        <v>222</v>
      </c>
      <c r="O1017" s="205" t="s">
        <v>2716</v>
      </c>
    </row>
    <row r="1018" spans="1:15" x14ac:dyDescent="0.25">
      <c r="A1018" s="107" t="s">
        <v>393</v>
      </c>
      <c r="B1018" s="238" t="s">
        <v>194</v>
      </c>
      <c r="C1018" s="208" t="s">
        <v>3832</v>
      </c>
      <c r="D1018" s="41">
        <v>42.558639999999997</v>
      </c>
      <c r="E1018" s="41">
        <v>-2.1881789999999999</v>
      </c>
      <c r="F1018" s="116">
        <v>4932.5</v>
      </c>
      <c r="G1018" s="27">
        <v>5310</v>
      </c>
      <c r="H1018" s="112">
        <v>4555</v>
      </c>
      <c r="I1018" s="97" t="s">
        <v>8</v>
      </c>
      <c r="J1018" s="40" t="s">
        <v>69</v>
      </c>
      <c r="K1018" s="194" t="s">
        <v>2930</v>
      </c>
      <c r="L1018" s="17" t="s">
        <v>69</v>
      </c>
      <c r="M1018" s="108" t="s">
        <v>219</v>
      </c>
      <c r="O1018" s="205" t="s">
        <v>2716</v>
      </c>
    </row>
    <row r="1019" spans="1:15" x14ac:dyDescent="0.25">
      <c r="A1019" s="107" t="s">
        <v>393</v>
      </c>
      <c r="B1019" s="238" t="s">
        <v>194</v>
      </c>
      <c r="C1019" s="208" t="s">
        <v>3832</v>
      </c>
      <c r="D1019" s="41">
        <v>42.558639999999997</v>
      </c>
      <c r="E1019" s="41">
        <v>-2.1881789999999999</v>
      </c>
      <c r="F1019" s="116">
        <v>4932.5</v>
      </c>
      <c r="G1019" s="27">
        <v>5310</v>
      </c>
      <c r="H1019" s="112">
        <v>4555</v>
      </c>
      <c r="I1019" s="97" t="s">
        <v>8</v>
      </c>
      <c r="J1019" s="40" t="s">
        <v>69</v>
      </c>
      <c r="K1019" s="194" t="s">
        <v>2930</v>
      </c>
      <c r="L1019" s="17" t="s">
        <v>69</v>
      </c>
      <c r="M1019" s="108" t="s">
        <v>224</v>
      </c>
      <c r="O1019" s="205" t="s">
        <v>2716</v>
      </c>
    </row>
    <row r="1020" spans="1:15" x14ac:dyDescent="0.25">
      <c r="A1020" s="107" t="s">
        <v>393</v>
      </c>
      <c r="B1020" s="238" t="s">
        <v>194</v>
      </c>
      <c r="C1020" s="208" t="s">
        <v>3832</v>
      </c>
      <c r="D1020" s="41">
        <v>42.558639999999997</v>
      </c>
      <c r="E1020" s="41">
        <v>-2.1881789999999999</v>
      </c>
      <c r="F1020" s="116">
        <v>4932.5</v>
      </c>
      <c r="G1020" s="27">
        <v>5310</v>
      </c>
      <c r="H1020" s="112">
        <v>4555</v>
      </c>
      <c r="I1020" s="97" t="s">
        <v>8</v>
      </c>
      <c r="J1020" s="40" t="s">
        <v>69</v>
      </c>
      <c r="K1020" s="194" t="s">
        <v>2930</v>
      </c>
      <c r="L1020" s="17" t="s">
        <v>69</v>
      </c>
      <c r="M1020" s="108" t="s">
        <v>225</v>
      </c>
      <c r="O1020" s="205" t="s">
        <v>2716</v>
      </c>
    </row>
    <row r="1021" spans="1:15" x14ac:dyDescent="0.25">
      <c r="A1021" s="107" t="s">
        <v>393</v>
      </c>
      <c r="B1021" s="238" t="s">
        <v>194</v>
      </c>
      <c r="C1021" s="208" t="s">
        <v>3832</v>
      </c>
      <c r="D1021" s="41">
        <v>42.558639999999997</v>
      </c>
      <c r="E1021" s="41">
        <v>-2.1881789999999999</v>
      </c>
      <c r="F1021" s="116">
        <v>4932.5</v>
      </c>
      <c r="G1021" s="27">
        <v>5310</v>
      </c>
      <c r="H1021" s="112">
        <v>4555</v>
      </c>
      <c r="I1021" s="97" t="s">
        <v>8</v>
      </c>
      <c r="J1021" s="40" t="s">
        <v>69</v>
      </c>
      <c r="K1021" s="194" t="s">
        <v>2930</v>
      </c>
      <c r="L1021" s="17" t="s">
        <v>69</v>
      </c>
      <c r="M1021" s="108" t="s">
        <v>226</v>
      </c>
      <c r="O1021" s="205" t="s">
        <v>2716</v>
      </c>
    </row>
    <row r="1022" spans="1:15" x14ac:dyDescent="0.25">
      <c r="A1022" s="107" t="s">
        <v>393</v>
      </c>
      <c r="B1022" s="238" t="s">
        <v>194</v>
      </c>
      <c r="C1022" s="208" t="s">
        <v>3832</v>
      </c>
      <c r="D1022" s="41">
        <v>42.558639999999997</v>
      </c>
      <c r="E1022" s="41">
        <v>-2.1881789999999999</v>
      </c>
      <c r="F1022" s="116">
        <v>4932.5</v>
      </c>
      <c r="G1022" s="27">
        <v>5310</v>
      </c>
      <c r="H1022" s="112">
        <v>4555</v>
      </c>
      <c r="I1022" s="97" t="s">
        <v>8</v>
      </c>
      <c r="J1022" s="40" t="s">
        <v>69</v>
      </c>
      <c r="K1022" s="194" t="s">
        <v>2930</v>
      </c>
      <c r="L1022" s="17" t="s">
        <v>69</v>
      </c>
      <c r="M1022" s="108" t="s">
        <v>227</v>
      </c>
      <c r="O1022" s="205" t="s">
        <v>2716</v>
      </c>
    </row>
    <row r="1023" spans="1:15" x14ac:dyDescent="0.25">
      <c r="A1023" s="107" t="s">
        <v>393</v>
      </c>
      <c r="B1023" s="238" t="s">
        <v>194</v>
      </c>
      <c r="C1023" s="208" t="s">
        <v>3832</v>
      </c>
      <c r="D1023" s="41">
        <v>42.558639999999997</v>
      </c>
      <c r="E1023" s="41">
        <v>-2.1881789999999999</v>
      </c>
      <c r="F1023" s="116">
        <v>4932.5</v>
      </c>
      <c r="G1023" s="27">
        <v>5310</v>
      </c>
      <c r="H1023" s="112">
        <v>4555</v>
      </c>
      <c r="I1023" s="97" t="s">
        <v>8</v>
      </c>
      <c r="J1023" s="40" t="s">
        <v>69</v>
      </c>
      <c r="K1023" s="194" t="s">
        <v>2930</v>
      </c>
      <c r="L1023" s="17" t="s">
        <v>69</v>
      </c>
      <c r="M1023" s="108" t="s">
        <v>228</v>
      </c>
      <c r="O1023" s="205" t="s">
        <v>2716</v>
      </c>
    </row>
    <row r="1024" spans="1:15" x14ac:dyDescent="0.25">
      <c r="A1024" s="107" t="s">
        <v>393</v>
      </c>
      <c r="B1024" s="238" t="s">
        <v>207</v>
      </c>
      <c r="C1024" s="208" t="s">
        <v>3832</v>
      </c>
      <c r="D1024" s="41">
        <v>42.795321000000001</v>
      </c>
      <c r="E1024" s="41">
        <v>-1.7580849999999999</v>
      </c>
      <c r="F1024" s="116">
        <v>4967.5</v>
      </c>
      <c r="G1024" s="27">
        <v>5207</v>
      </c>
      <c r="H1024" s="112">
        <v>4728</v>
      </c>
      <c r="I1024" s="97" t="s">
        <v>8</v>
      </c>
      <c r="J1024" s="40" t="s">
        <v>69</v>
      </c>
      <c r="K1024" s="194" t="s">
        <v>2930</v>
      </c>
      <c r="L1024" s="17" t="s">
        <v>69</v>
      </c>
      <c r="M1024" s="108" t="s">
        <v>229</v>
      </c>
      <c r="O1024" s="205" t="s">
        <v>2716</v>
      </c>
    </row>
    <row r="1025" spans="1:15" x14ac:dyDescent="0.25">
      <c r="A1025" s="107" t="s">
        <v>393</v>
      </c>
      <c r="B1025" s="238" t="s">
        <v>194</v>
      </c>
      <c r="C1025" s="208" t="s">
        <v>3832</v>
      </c>
      <c r="D1025" s="41">
        <v>42.558639999999997</v>
      </c>
      <c r="E1025" s="41">
        <v>-2.1881789999999999</v>
      </c>
      <c r="F1025" s="116">
        <v>4932.5</v>
      </c>
      <c r="G1025" s="27">
        <v>5310</v>
      </c>
      <c r="H1025" s="112">
        <v>4555</v>
      </c>
      <c r="I1025" s="97" t="s">
        <v>9</v>
      </c>
      <c r="J1025" s="40" t="s">
        <v>69</v>
      </c>
      <c r="K1025" s="194" t="s">
        <v>2930</v>
      </c>
      <c r="L1025" s="17" t="s">
        <v>69</v>
      </c>
      <c r="M1025" s="108" t="s">
        <v>230</v>
      </c>
      <c r="O1025" s="205" t="s">
        <v>2716</v>
      </c>
    </row>
    <row r="1026" spans="1:15" x14ac:dyDescent="0.25">
      <c r="A1026" s="107" t="s">
        <v>393</v>
      </c>
      <c r="B1026" s="238" t="s">
        <v>194</v>
      </c>
      <c r="C1026" s="208" t="s">
        <v>3832</v>
      </c>
      <c r="D1026" s="41">
        <v>42.558639999999997</v>
      </c>
      <c r="E1026" s="41">
        <v>-2.1881789999999999</v>
      </c>
      <c r="F1026" s="116">
        <v>4932.5</v>
      </c>
      <c r="G1026" s="27">
        <v>5310</v>
      </c>
      <c r="H1026" s="112">
        <v>4555</v>
      </c>
      <c r="I1026" s="97" t="s">
        <v>86</v>
      </c>
      <c r="J1026" s="40" t="s">
        <v>69</v>
      </c>
      <c r="K1026" s="194" t="s">
        <v>2930</v>
      </c>
      <c r="L1026" s="17" t="s">
        <v>69</v>
      </c>
      <c r="M1026" s="108" t="s">
        <v>231</v>
      </c>
      <c r="O1026" s="205" t="s">
        <v>2716</v>
      </c>
    </row>
    <row r="1027" spans="1:15" x14ac:dyDescent="0.25">
      <c r="A1027" s="107" t="s">
        <v>663</v>
      </c>
      <c r="B1027" s="238" t="s">
        <v>664</v>
      </c>
      <c r="C1027" s="215" t="s">
        <v>4234</v>
      </c>
      <c r="D1027" s="41">
        <v>42.38</v>
      </c>
      <c r="E1027" s="41">
        <v>-3.7349999999999999</v>
      </c>
      <c r="F1027" s="116">
        <f t="shared" ref="F1027:F1032" si="36">AVERAGE(G1027:H1027)</f>
        <v>5022</v>
      </c>
      <c r="G1027" s="27">
        <v>5083</v>
      </c>
      <c r="H1027" s="112">
        <v>4961</v>
      </c>
      <c r="I1027" s="97" t="s">
        <v>86</v>
      </c>
      <c r="J1027" s="40" t="s">
        <v>69</v>
      </c>
      <c r="K1027" s="194" t="s">
        <v>2931</v>
      </c>
      <c r="L1027" s="17" t="s">
        <v>69</v>
      </c>
      <c r="M1027" s="108" t="s">
        <v>665</v>
      </c>
      <c r="O1027" s="205"/>
    </row>
    <row r="1028" spans="1:15" ht="15.75" thickBot="1" x14ac:dyDescent="0.3">
      <c r="A1028" s="107" t="s">
        <v>663</v>
      </c>
      <c r="B1028" s="238" t="s">
        <v>666</v>
      </c>
      <c r="C1028" s="215" t="s">
        <v>4234</v>
      </c>
      <c r="D1028" s="41">
        <v>42.457999999999998</v>
      </c>
      <c r="E1028" s="41">
        <v>-3.4689999999999999</v>
      </c>
      <c r="F1028" s="116">
        <f t="shared" si="36"/>
        <v>5140</v>
      </c>
      <c r="G1028" s="27">
        <v>5295</v>
      </c>
      <c r="H1028" s="112">
        <v>4985</v>
      </c>
      <c r="I1028" s="97" t="s">
        <v>559</v>
      </c>
      <c r="J1028" s="40" t="s">
        <v>69</v>
      </c>
      <c r="K1028" s="194" t="s">
        <v>2931</v>
      </c>
      <c r="L1028" s="17" t="s">
        <v>69</v>
      </c>
      <c r="M1028" s="108" t="s">
        <v>667</v>
      </c>
      <c r="O1028" s="205"/>
    </row>
    <row r="1029" spans="1:15" ht="15.75" thickBot="1" x14ac:dyDescent="0.3">
      <c r="A1029" s="107" t="s">
        <v>564</v>
      </c>
      <c r="B1029" s="238" t="s">
        <v>668</v>
      </c>
      <c r="C1029" s="215" t="s">
        <v>4234</v>
      </c>
      <c r="D1029" s="41">
        <v>42.6282</v>
      </c>
      <c r="E1029" s="41">
        <v>-3.1164900000000002</v>
      </c>
      <c r="F1029" s="116">
        <f t="shared" si="36"/>
        <v>4759.5</v>
      </c>
      <c r="G1029" s="27">
        <v>4827</v>
      </c>
      <c r="H1029" s="112">
        <v>4692</v>
      </c>
      <c r="I1029" s="174" t="s">
        <v>669</v>
      </c>
      <c r="J1029" s="40" t="s">
        <v>69</v>
      </c>
      <c r="K1029" s="194" t="s">
        <v>2931</v>
      </c>
      <c r="L1029" s="17" t="s">
        <v>2</v>
      </c>
      <c r="M1029" s="108" t="s">
        <v>670</v>
      </c>
      <c r="N1029" s="230" t="s">
        <v>671</v>
      </c>
      <c r="O1029" s="205"/>
    </row>
    <row r="1030" spans="1:15" x14ac:dyDescent="0.25">
      <c r="A1030" s="107" t="s">
        <v>564</v>
      </c>
      <c r="B1030" s="238" t="s">
        <v>668</v>
      </c>
      <c r="C1030" s="215" t="s">
        <v>4234</v>
      </c>
      <c r="D1030" s="41">
        <v>42.6282</v>
      </c>
      <c r="E1030" s="41">
        <v>-3.1164900000000002</v>
      </c>
      <c r="F1030" s="116">
        <f t="shared" si="36"/>
        <v>5123.5</v>
      </c>
      <c r="G1030" s="27">
        <v>5216</v>
      </c>
      <c r="H1030" s="112">
        <v>5031</v>
      </c>
      <c r="I1030" s="97" t="s">
        <v>559</v>
      </c>
      <c r="J1030" s="40" t="s">
        <v>69</v>
      </c>
      <c r="K1030" s="194" t="s">
        <v>2931</v>
      </c>
      <c r="L1030" s="17" t="s">
        <v>2</v>
      </c>
      <c r="M1030" s="108" t="s">
        <v>672</v>
      </c>
      <c r="N1030" s="230" t="s">
        <v>673</v>
      </c>
      <c r="O1030" s="205"/>
    </row>
    <row r="1031" spans="1:15" x14ac:dyDescent="0.25">
      <c r="A1031" s="107" t="s">
        <v>674</v>
      </c>
      <c r="B1031" s="238" t="s">
        <v>675</v>
      </c>
      <c r="C1031" s="215" t="s">
        <v>4234</v>
      </c>
      <c r="D1031" s="41">
        <v>42.334000000000003</v>
      </c>
      <c r="E1031" s="41">
        <v>-3.524</v>
      </c>
      <c r="F1031" s="116">
        <f t="shared" si="36"/>
        <v>5123.5</v>
      </c>
      <c r="G1031" s="27">
        <v>5216</v>
      </c>
      <c r="H1031" s="112">
        <v>5031</v>
      </c>
      <c r="I1031" s="97" t="s">
        <v>676</v>
      </c>
      <c r="J1031" s="40" t="s">
        <v>84</v>
      </c>
      <c r="K1031" s="417" t="s">
        <v>2513</v>
      </c>
      <c r="L1031" s="17" t="s">
        <v>14</v>
      </c>
      <c r="M1031" s="108" t="s">
        <v>677</v>
      </c>
      <c r="N1031" s="230" t="s">
        <v>2292</v>
      </c>
      <c r="O1031" s="205" t="s">
        <v>3856</v>
      </c>
    </row>
    <row r="1032" spans="1:15" x14ac:dyDescent="0.25">
      <c r="A1032" s="107" t="s">
        <v>674</v>
      </c>
      <c r="B1032" s="238" t="s">
        <v>675</v>
      </c>
      <c r="C1032" s="215" t="s">
        <v>4234</v>
      </c>
      <c r="D1032" s="41">
        <v>42.334000000000003</v>
      </c>
      <c r="E1032" s="41">
        <v>-3.524</v>
      </c>
      <c r="F1032" s="116">
        <f t="shared" si="36"/>
        <v>5123.5</v>
      </c>
      <c r="G1032" s="27">
        <v>5216</v>
      </c>
      <c r="H1032" s="112">
        <v>5031</v>
      </c>
      <c r="I1032" s="97" t="s">
        <v>678</v>
      </c>
      <c r="J1032" s="40" t="s">
        <v>69</v>
      </c>
      <c r="K1032" s="417" t="s">
        <v>2513</v>
      </c>
      <c r="L1032" s="17" t="s">
        <v>2</v>
      </c>
      <c r="M1032" s="108" t="s">
        <v>679</v>
      </c>
      <c r="O1032" s="205"/>
    </row>
    <row r="1033" spans="1:15" x14ac:dyDescent="0.25">
      <c r="A1033" s="107" t="s">
        <v>698</v>
      </c>
      <c r="B1033" s="238" t="s">
        <v>699</v>
      </c>
      <c r="C1033" s="215" t="s">
        <v>4234</v>
      </c>
      <c r="D1033" s="41">
        <v>42.38</v>
      </c>
      <c r="E1033" s="41">
        <v>-3.7349999999999999</v>
      </c>
      <c r="F1033" s="116">
        <v>5084</v>
      </c>
      <c r="G1033" s="27">
        <v>5208</v>
      </c>
      <c r="H1033" s="112">
        <v>4961</v>
      </c>
      <c r="I1033" s="97" t="s">
        <v>503</v>
      </c>
      <c r="J1033" s="40" t="s">
        <v>133</v>
      </c>
      <c r="K1033" s="194" t="s">
        <v>2932</v>
      </c>
      <c r="L1033" s="17" t="s">
        <v>972</v>
      </c>
      <c r="M1033" s="108" t="s">
        <v>700</v>
      </c>
      <c r="N1033" s="230" t="s">
        <v>701</v>
      </c>
      <c r="O1033" s="205" t="s">
        <v>3862</v>
      </c>
    </row>
    <row r="1034" spans="1:15" s="2" customFormat="1" x14ac:dyDescent="0.25">
      <c r="A1034" s="665" t="s">
        <v>4276</v>
      </c>
      <c r="B1034" s="669"/>
      <c r="C1034" s="670"/>
      <c r="D1034" s="684">
        <f>AVERAGE(D950:D1033)</f>
        <v>41.605589905952442</v>
      </c>
      <c r="E1034" s="684">
        <f>AVERAGE(E950:E1033)</f>
        <v>-1.2849741202380973</v>
      </c>
      <c r="F1034" s="685">
        <f>AVERAGE(F950:F1033)</f>
        <v>5075.166666666667</v>
      </c>
      <c r="G1034" s="29"/>
      <c r="H1034" s="113"/>
      <c r="I1034" s="358"/>
      <c r="J1034" s="281"/>
      <c r="K1034" s="370"/>
      <c r="L1034" s="29"/>
      <c r="M1034" s="232"/>
      <c r="N1034" s="354"/>
      <c r="O1034" s="61"/>
    </row>
    <row r="1035" spans="1:15" x14ac:dyDescent="0.25">
      <c r="B1035" s="367"/>
      <c r="C1035" s="368"/>
      <c r="D1035" s="14"/>
      <c r="E1035" s="29"/>
      <c r="F1035" s="251"/>
      <c r="G1035" s="29"/>
      <c r="H1035" s="113"/>
      <c r="I1035" s="281"/>
      <c r="J1035" s="281"/>
      <c r="K1035" s="370"/>
      <c r="L1035" s="29"/>
      <c r="M1035" s="232"/>
      <c r="N1035" s="354"/>
      <c r="O1035" s="61"/>
    </row>
    <row r="1036" spans="1:15" x14ac:dyDescent="0.25">
      <c r="A1036" s="665" t="s">
        <v>4277</v>
      </c>
      <c r="B1036" s="367"/>
      <c r="C1036" s="368"/>
      <c r="D1036" s="14"/>
      <c r="E1036" s="29"/>
      <c r="F1036" s="251"/>
      <c r="G1036" s="29"/>
      <c r="H1036" s="113"/>
      <c r="I1036" s="281"/>
      <c r="J1036" s="281"/>
      <c r="K1036" s="370"/>
      <c r="L1036" s="29"/>
      <c r="M1036" s="232"/>
      <c r="N1036" s="354"/>
      <c r="O1036" s="61"/>
    </row>
    <row r="1037" spans="1:15" s="100" customFormat="1" ht="32.450000000000003" customHeight="1" x14ac:dyDescent="0.25">
      <c r="A1037" s="507" t="s">
        <v>4291</v>
      </c>
      <c r="B1037" s="508" t="s">
        <v>1247</v>
      </c>
      <c r="C1037" s="519" t="s">
        <v>0</v>
      </c>
      <c r="D1037" s="510" t="s">
        <v>969</v>
      </c>
      <c r="E1037" s="510" t="s">
        <v>2323</v>
      </c>
      <c r="F1037" s="510" t="s">
        <v>398</v>
      </c>
      <c r="G1037" s="511" t="s">
        <v>399</v>
      </c>
      <c r="H1037" s="512" t="s">
        <v>400</v>
      </c>
      <c r="I1037" s="101" t="s">
        <v>2322</v>
      </c>
      <c r="J1037" s="589" t="s">
        <v>3927</v>
      </c>
      <c r="K1037" s="590" t="s">
        <v>3250</v>
      </c>
      <c r="L1037" s="591" t="s">
        <v>1</v>
      </c>
      <c r="M1037" s="590" t="s">
        <v>3486</v>
      </c>
      <c r="N1037" s="640" t="s">
        <v>3487</v>
      </c>
      <c r="O1037" s="339" t="s">
        <v>2324</v>
      </c>
    </row>
    <row r="1038" spans="1:15" x14ac:dyDescent="0.25">
      <c r="A1038" s="87" t="s">
        <v>392</v>
      </c>
      <c r="B1038" s="238" t="s">
        <v>148</v>
      </c>
      <c r="C1038" s="252" t="s">
        <v>149</v>
      </c>
      <c r="D1038" s="41">
        <v>39.650500000000001</v>
      </c>
      <c r="E1038" s="41">
        <v>-8.4138999999999999</v>
      </c>
      <c r="F1038" s="116">
        <f t="shared" ref="F1038:F1050" si="37">AVERAGE(G1038:H1038)</f>
        <v>5161.5</v>
      </c>
      <c r="G1038" s="27">
        <v>5480</v>
      </c>
      <c r="H1038" s="112">
        <v>4843</v>
      </c>
      <c r="I1038" s="97" t="s">
        <v>8</v>
      </c>
      <c r="J1038" s="40" t="s">
        <v>69</v>
      </c>
      <c r="K1038" s="194" t="s">
        <v>150</v>
      </c>
      <c r="L1038" s="17" t="s">
        <v>69</v>
      </c>
      <c r="M1038" s="108" t="s">
        <v>151</v>
      </c>
    </row>
    <row r="1039" spans="1:15" x14ac:dyDescent="0.25">
      <c r="A1039" s="87" t="s">
        <v>392</v>
      </c>
      <c r="B1039" s="238" t="s">
        <v>148</v>
      </c>
      <c r="C1039" s="252" t="s">
        <v>149</v>
      </c>
      <c r="D1039" s="41">
        <v>39.650500000000001</v>
      </c>
      <c r="E1039" s="41">
        <v>-8.4138999999999999</v>
      </c>
      <c r="F1039" s="116">
        <f t="shared" si="37"/>
        <v>5161.5</v>
      </c>
      <c r="G1039" s="27">
        <v>5480</v>
      </c>
      <c r="H1039" s="112">
        <v>4843</v>
      </c>
      <c r="I1039" s="97" t="s">
        <v>10</v>
      </c>
      <c r="J1039" s="40" t="s">
        <v>69</v>
      </c>
      <c r="K1039" s="194" t="s">
        <v>150</v>
      </c>
      <c r="L1039" s="17" t="s">
        <v>69</v>
      </c>
      <c r="M1039" s="108" t="s">
        <v>152</v>
      </c>
    </row>
    <row r="1040" spans="1:15" x14ac:dyDescent="0.25">
      <c r="A1040" s="107" t="s">
        <v>384</v>
      </c>
      <c r="B1040" s="238" t="s">
        <v>724</v>
      </c>
      <c r="C1040" s="252" t="s">
        <v>149</v>
      </c>
      <c r="D1040" s="41">
        <v>39.504810999999997</v>
      </c>
      <c r="E1040" s="41">
        <v>-8.6152940000000005</v>
      </c>
      <c r="F1040" s="116">
        <f t="shared" si="37"/>
        <v>5265</v>
      </c>
      <c r="G1040" s="27">
        <v>5310</v>
      </c>
      <c r="H1040" s="112">
        <v>5220</v>
      </c>
      <c r="I1040" s="97" t="s">
        <v>153</v>
      </c>
      <c r="J1040" s="40" t="s">
        <v>69</v>
      </c>
      <c r="K1040" s="194" t="s">
        <v>145</v>
      </c>
      <c r="L1040" s="17" t="s">
        <v>2</v>
      </c>
      <c r="M1040" s="108" t="s">
        <v>154</v>
      </c>
    </row>
    <row r="1041" spans="1:15" x14ac:dyDescent="0.25">
      <c r="A1041" s="87" t="s">
        <v>392</v>
      </c>
      <c r="B1041" s="238" t="s">
        <v>148</v>
      </c>
      <c r="C1041" s="252" t="s">
        <v>149</v>
      </c>
      <c r="D1041" s="41">
        <v>39.650500000000001</v>
      </c>
      <c r="E1041" s="41">
        <v>-8.4138999999999999</v>
      </c>
      <c r="F1041" s="116">
        <f t="shared" si="37"/>
        <v>5161.5</v>
      </c>
      <c r="G1041" s="27">
        <v>5480</v>
      </c>
      <c r="H1041" s="112">
        <v>4843</v>
      </c>
      <c r="I1041" s="97" t="s">
        <v>18</v>
      </c>
      <c r="J1041" s="40" t="s">
        <v>69</v>
      </c>
      <c r="K1041" s="194" t="s">
        <v>150</v>
      </c>
      <c r="L1041" s="17" t="s">
        <v>69</v>
      </c>
      <c r="M1041" s="108" t="s">
        <v>155</v>
      </c>
    </row>
    <row r="1042" spans="1:15" x14ac:dyDescent="0.25">
      <c r="A1042" s="87" t="s">
        <v>392</v>
      </c>
      <c r="B1042" s="238" t="s">
        <v>148</v>
      </c>
      <c r="C1042" s="252" t="s">
        <v>149</v>
      </c>
      <c r="D1042" s="41">
        <v>39.650500000000001</v>
      </c>
      <c r="E1042" s="41">
        <v>-8.4138999999999999</v>
      </c>
      <c r="F1042" s="116">
        <f t="shared" si="37"/>
        <v>5161.5</v>
      </c>
      <c r="G1042" s="27">
        <v>5480</v>
      </c>
      <c r="H1042" s="112">
        <v>4843</v>
      </c>
      <c r="I1042" s="97" t="s">
        <v>18</v>
      </c>
      <c r="J1042" s="40" t="s">
        <v>69</v>
      </c>
      <c r="K1042" s="194" t="s">
        <v>150</v>
      </c>
      <c r="L1042" s="17" t="s">
        <v>69</v>
      </c>
      <c r="M1042" s="108" t="s">
        <v>156</v>
      </c>
    </row>
    <row r="1043" spans="1:15" x14ac:dyDescent="0.25">
      <c r="A1043" s="87" t="s">
        <v>392</v>
      </c>
      <c r="B1043" s="238" t="s">
        <v>148</v>
      </c>
      <c r="C1043" s="252" t="s">
        <v>149</v>
      </c>
      <c r="D1043" s="41">
        <v>39.650500000000001</v>
      </c>
      <c r="E1043" s="41">
        <v>-8.4138999999999999</v>
      </c>
      <c r="F1043" s="116">
        <f t="shared" si="37"/>
        <v>5161.5</v>
      </c>
      <c r="G1043" s="27">
        <v>5480</v>
      </c>
      <c r="H1043" s="112">
        <v>4843</v>
      </c>
      <c r="I1043" s="97" t="s">
        <v>18</v>
      </c>
      <c r="J1043" s="40" t="s">
        <v>69</v>
      </c>
      <c r="K1043" s="194" t="s">
        <v>150</v>
      </c>
      <c r="L1043" s="17" t="s">
        <v>69</v>
      </c>
      <c r="M1043" s="108" t="s">
        <v>157</v>
      </c>
    </row>
    <row r="1044" spans="1:15" x14ac:dyDescent="0.25">
      <c r="A1044" s="87" t="s">
        <v>392</v>
      </c>
      <c r="B1044" s="238" t="s">
        <v>148</v>
      </c>
      <c r="C1044" s="252" t="s">
        <v>149</v>
      </c>
      <c r="D1044" s="41">
        <v>39.650500000000001</v>
      </c>
      <c r="E1044" s="41">
        <v>-8.4138999999999999</v>
      </c>
      <c r="F1044" s="116">
        <f t="shared" si="37"/>
        <v>5161.5</v>
      </c>
      <c r="G1044" s="27">
        <v>5480</v>
      </c>
      <c r="H1044" s="112">
        <v>4843</v>
      </c>
      <c r="I1044" s="97" t="s">
        <v>18</v>
      </c>
      <c r="J1044" s="40" t="s">
        <v>69</v>
      </c>
      <c r="K1044" s="194" t="s">
        <v>150</v>
      </c>
      <c r="L1044" s="17" t="s">
        <v>69</v>
      </c>
      <c r="M1044" s="108" t="s">
        <v>158</v>
      </c>
    </row>
    <row r="1045" spans="1:15" x14ac:dyDescent="0.25">
      <c r="A1045" s="87" t="s">
        <v>392</v>
      </c>
      <c r="B1045" s="238" t="s">
        <v>148</v>
      </c>
      <c r="C1045" s="252" t="s">
        <v>149</v>
      </c>
      <c r="D1045" s="41">
        <v>39.650500000000001</v>
      </c>
      <c r="E1045" s="41">
        <v>-8.4138999999999999</v>
      </c>
      <c r="F1045" s="116">
        <f t="shared" si="37"/>
        <v>5161.5</v>
      </c>
      <c r="G1045" s="27">
        <v>5480</v>
      </c>
      <c r="H1045" s="112">
        <v>4843</v>
      </c>
      <c r="I1045" s="97" t="s">
        <v>18</v>
      </c>
      <c r="J1045" s="40" t="s">
        <v>69</v>
      </c>
      <c r="K1045" s="194" t="s">
        <v>150</v>
      </c>
      <c r="L1045" s="17" t="s">
        <v>69</v>
      </c>
      <c r="M1045" s="108" t="s">
        <v>159</v>
      </c>
    </row>
    <row r="1046" spans="1:15" x14ac:dyDescent="0.25">
      <c r="A1046" s="87" t="s">
        <v>392</v>
      </c>
      <c r="B1046" s="238" t="s">
        <v>148</v>
      </c>
      <c r="C1046" s="252" t="s">
        <v>149</v>
      </c>
      <c r="D1046" s="41">
        <v>39.650500000000001</v>
      </c>
      <c r="E1046" s="41">
        <v>-8.4138999999999999</v>
      </c>
      <c r="F1046" s="116">
        <f t="shared" si="37"/>
        <v>5161.5</v>
      </c>
      <c r="G1046" s="27">
        <v>5480</v>
      </c>
      <c r="H1046" s="112">
        <v>4843</v>
      </c>
      <c r="I1046" s="97" t="s">
        <v>18</v>
      </c>
      <c r="J1046" s="40" t="s">
        <v>69</v>
      </c>
      <c r="K1046" s="194" t="s">
        <v>150</v>
      </c>
      <c r="L1046" s="17" t="s">
        <v>69</v>
      </c>
      <c r="M1046" s="108" t="s">
        <v>160</v>
      </c>
      <c r="N1046" s="239" t="s">
        <v>972</v>
      </c>
    </row>
    <row r="1047" spans="1:15" ht="15.75" thickBot="1" x14ac:dyDescent="0.3">
      <c r="A1047" s="107" t="s">
        <v>384</v>
      </c>
      <c r="B1047" s="238" t="s">
        <v>724</v>
      </c>
      <c r="C1047" s="252" t="s">
        <v>149</v>
      </c>
      <c r="D1047" s="41">
        <v>39.504810999999997</v>
      </c>
      <c r="E1047" s="41">
        <v>-8.6152940000000005</v>
      </c>
      <c r="F1047" s="116">
        <f t="shared" si="37"/>
        <v>5280</v>
      </c>
      <c r="G1047" s="27">
        <v>5330</v>
      </c>
      <c r="H1047" s="112">
        <v>5230</v>
      </c>
      <c r="I1047" s="97" t="s">
        <v>3</v>
      </c>
      <c r="J1047" s="40" t="s">
        <v>69</v>
      </c>
      <c r="K1047" s="417" t="s">
        <v>2513</v>
      </c>
      <c r="L1047" s="17" t="s">
        <v>14</v>
      </c>
      <c r="M1047" s="108" t="s">
        <v>161</v>
      </c>
    </row>
    <row r="1048" spans="1:15" ht="15.75" thickBot="1" x14ac:dyDescent="0.3">
      <c r="A1048" s="87" t="s">
        <v>663</v>
      </c>
      <c r="B1048" s="238" t="s">
        <v>720</v>
      </c>
      <c r="C1048" s="252" t="s">
        <v>149</v>
      </c>
      <c r="D1048" s="41">
        <v>39.661944439999999</v>
      </c>
      <c r="E1048" s="41">
        <v>-8.5219444400000004</v>
      </c>
      <c r="F1048" s="116">
        <f t="shared" si="37"/>
        <v>5050</v>
      </c>
      <c r="G1048" s="27">
        <v>5220</v>
      </c>
      <c r="H1048" s="112">
        <v>4880</v>
      </c>
      <c r="I1048" s="174" t="s">
        <v>43</v>
      </c>
      <c r="J1048" s="40" t="s">
        <v>69</v>
      </c>
      <c r="K1048" s="417" t="s">
        <v>2513</v>
      </c>
      <c r="L1048" s="17" t="s">
        <v>69</v>
      </c>
      <c r="M1048" s="108" t="s">
        <v>721</v>
      </c>
    </row>
    <row r="1049" spans="1:15" x14ac:dyDescent="0.25">
      <c r="A1049" s="87" t="s">
        <v>663</v>
      </c>
      <c r="B1049" s="238" t="s">
        <v>720</v>
      </c>
      <c r="C1049" s="252" t="s">
        <v>149</v>
      </c>
      <c r="D1049" s="41">
        <v>39.661944439999999</v>
      </c>
      <c r="E1049" s="41">
        <v>-8.5219444400000004</v>
      </c>
      <c r="F1049" s="116">
        <f t="shared" si="37"/>
        <v>5050</v>
      </c>
      <c r="G1049" s="27">
        <v>5220</v>
      </c>
      <c r="H1049" s="112">
        <v>4880</v>
      </c>
      <c r="I1049" s="97" t="s">
        <v>7</v>
      </c>
      <c r="J1049" s="40" t="s">
        <v>69</v>
      </c>
      <c r="K1049" s="417" t="s">
        <v>2513</v>
      </c>
      <c r="L1049" s="17" t="s">
        <v>69</v>
      </c>
      <c r="M1049" s="108" t="s">
        <v>722</v>
      </c>
    </row>
    <row r="1050" spans="1:15" x14ac:dyDescent="0.25">
      <c r="A1050" s="87" t="s">
        <v>663</v>
      </c>
      <c r="B1050" s="238" t="s">
        <v>720</v>
      </c>
      <c r="C1050" s="252" t="s">
        <v>149</v>
      </c>
      <c r="D1050" s="41">
        <v>39.661944439999999</v>
      </c>
      <c r="E1050" s="41">
        <v>-8.5219444400000004</v>
      </c>
      <c r="F1050" s="116">
        <f t="shared" si="37"/>
        <v>5050</v>
      </c>
      <c r="G1050" s="27">
        <v>5220</v>
      </c>
      <c r="H1050" s="112">
        <v>4880</v>
      </c>
      <c r="I1050" s="97" t="s">
        <v>34</v>
      </c>
      <c r="J1050" s="40" t="s">
        <v>69</v>
      </c>
      <c r="K1050" s="417" t="s">
        <v>2513</v>
      </c>
      <c r="L1050" s="17" t="s">
        <v>69</v>
      </c>
      <c r="M1050" s="108" t="s">
        <v>723</v>
      </c>
    </row>
    <row r="1051" spans="1:15" s="2" customFormat="1" x14ac:dyDescent="0.25">
      <c r="A1051" s="87" t="s">
        <v>2504</v>
      </c>
      <c r="B1051" s="238" t="s">
        <v>148</v>
      </c>
      <c r="C1051" s="252" t="s">
        <v>149</v>
      </c>
      <c r="D1051" s="41">
        <v>39.650500000000001</v>
      </c>
      <c r="E1051" s="41">
        <v>-8.4138999999999999</v>
      </c>
      <c r="F1051" s="540">
        <v>5184.5</v>
      </c>
      <c r="G1051" s="539">
        <v>5306</v>
      </c>
      <c r="H1051" s="539">
        <v>5063</v>
      </c>
      <c r="I1051" s="132" t="s">
        <v>2573</v>
      </c>
      <c r="J1051" s="598" t="s">
        <v>2512</v>
      </c>
      <c r="K1051" s="194" t="s">
        <v>2934</v>
      </c>
      <c r="L1051" s="17" t="s">
        <v>2</v>
      </c>
      <c r="M1051" s="600" t="s">
        <v>2574</v>
      </c>
      <c r="N1051" s="209" t="s">
        <v>2575</v>
      </c>
      <c r="O1051" s="206"/>
    </row>
    <row r="1052" spans="1:15" s="2" customFormat="1" x14ac:dyDescent="0.25">
      <c r="A1052" s="87" t="s">
        <v>2504</v>
      </c>
      <c r="B1052" s="238" t="s">
        <v>148</v>
      </c>
      <c r="C1052" s="252" t="s">
        <v>149</v>
      </c>
      <c r="D1052" s="41">
        <v>39.650500000000001</v>
      </c>
      <c r="E1052" s="41">
        <v>-8.4138999999999999</v>
      </c>
      <c r="F1052" s="540">
        <v>5397</v>
      </c>
      <c r="G1052" s="539">
        <v>5474</v>
      </c>
      <c r="H1052" s="539">
        <v>5320</v>
      </c>
      <c r="I1052" s="132" t="s">
        <v>81</v>
      </c>
      <c r="J1052" s="598" t="s">
        <v>2512</v>
      </c>
      <c r="K1052" s="194" t="s">
        <v>2934</v>
      </c>
      <c r="L1052" s="17" t="s">
        <v>2</v>
      </c>
      <c r="M1052" s="600" t="s">
        <v>2576</v>
      </c>
      <c r="N1052" s="209" t="s">
        <v>2577</v>
      </c>
      <c r="O1052" s="206"/>
    </row>
    <row r="1053" spans="1:15" s="2" customFormat="1" x14ac:dyDescent="0.25">
      <c r="A1053" s="665" t="s">
        <v>4277</v>
      </c>
      <c r="B1053" s="669"/>
      <c r="C1053" s="668"/>
      <c r="D1053" s="684">
        <f>AVERAGE(D1038:D1052)</f>
        <v>39.633363688000003</v>
      </c>
      <c r="E1053" s="684">
        <f>AVERAGE(E1038:E1052)</f>
        <v>-8.4623614213333322</v>
      </c>
      <c r="F1053" s="685">
        <f>AVERAGE(F1038:F1052)</f>
        <v>5171.2333333333336</v>
      </c>
      <c r="G1053" s="29"/>
      <c r="H1053" s="113"/>
      <c r="I1053" s="358"/>
      <c r="J1053" s="281"/>
      <c r="K1053" s="370"/>
      <c r="L1053" s="29"/>
      <c r="M1053" s="232"/>
      <c r="N1053" s="354"/>
      <c r="O1053" s="61"/>
    </row>
    <row r="1054" spans="1:15" x14ac:dyDescent="0.25">
      <c r="B1054" s="367"/>
      <c r="C1054" s="404"/>
      <c r="D1054" s="29"/>
      <c r="E1054" s="29"/>
      <c r="F1054" s="251"/>
      <c r="G1054" s="29"/>
      <c r="H1054" s="113"/>
      <c r="I1054" s="281"/>
      <c r="J1054" s="281"/>
      <c r="K1054" s="370"/>
      <c r="L1054" s="29"/>
      <c r="M1054" s="232"/>
      <c r="N1054" s="354"/>
      <c r="O1054" s="61"/>
    </row>
    <row r="1055" spans="1:15" s="45" customFormat="1" x14ac:dyDescent="0.25">
      <c r="A1055" s="109"/>
      <c r="B1055" s="380"/>
      <c r="C1055" s="403"/>
      <c r="D1055" s="369"/>
      <c r="E1055" s="369"/>
      <c r="F1055" s="382"/>
      <c r="G1055" s="29"/>
      <c r="H1055" s="113"/>
      <c r="I1055" s="281"/>
      <c r="J1055" s="281"/>
      <c r="K1055" s="370"/>
      <c r="L1055" s="29"/>
      <c r="M1055" s="232"/>
      <c r="N1055" s="354"/>
      <c r="O1055" s="61"/>
    </row>
    <row r="1056" spans="1:15" s="92" customFormat="1" ht="31.5" x14ac:dyDescent="0.5">
      <c r="A1056" s="401" t="s">
        <v>4243</v>
      </c>
      <c r="B1056" s="393"/>
      <c r="C1056" s="406"/>
      <c r="D1056" s="394"/>
      <c r="E1056" s="394"/>
      <c r="F1056" s="395"/>
      <c r="G1056" s="396"/>
      <c r="H1056" s="397"/>
      <c r="I1056" s="398"/>
      <c r="J1056" s="398"/>
      <c r="K1056" s="399"/>
      <c r="L1056" s="400"/>
      <c r="M1056" s="354"/>
      <c r="N1056" s="354"/>
      <c r="O1056" s="392"/>
    </row>
    <row r="1057" spans="1:15" s="45" customFormat="1" x14ac:dyDescent="0.25">
      <c r="A1057" s="381"/>
      <c r="B1057" s="380"/>
      <c r="C1057" s="403"/>
      <c r="D1057" s="369"/>
      <c r="E1057" s="369"/>
      <c r="F1057" s="382"/>
      <c r="G1057" s="12"/>
      <c r="H1057" s="293"/>
      <c r="I1057" s="281"/>
      <c r="J1057" s="281"/>
      <c r="K1057" s="370"/>
      <c r="L1057" s="29"/>
      <c r="M1057" s="232"/>
      <c r="N1057" s="354"/>
      <c r="O1057" s="61"/>
    </row>
    <row r="1058" spans="1:15" s="45" customFormat="1" x14ac:dyDescent="0.25">
      <c r="A1058" s="665" t="s">
        <v>4231</v>
      </c>
      <c r="B1058" s="811"/>
      <c r="C1058" s="403"/>
      <c r="D1058" s="369"/>
      <c r="E1058" s="369"/>
      <c r="F1058" s="382"/>
      <c r="G1058" s="12"/>
      <c r="H1058" s="293"/>
      <c r="I1058" s="281"/>
      <c r="J1058" s="281"/>
      <c r="K1058" s="370"/>
      <c r="L1058" s="29"/>
      <c r="M1058" s="232"/>
      <c r="N1058" s="354"/>
      <c r="O1058" s="61"/>
    </row>
    <row r="1059" spans="1:15" s="100" customFormat="1" ht="32.450000000000003" customHeight="1" x14ac:dyDescent="0.25">
      <c r="A1059" s="507" t="s">
        <v>3265</v>
      </c>
      <c r="B1059" s="508" t="s">
        <v>1247</v>
      </c>
      <c r="C1059" s="519" t="s">
        <v>0</v>
      </c>
      <c r="D1059" s="510" t="s">
        <v>969</v>
      </c>
      <c r="E1059" s="510" t="s">
        <v>2323</v>
      </c>
      <c r="F1059" s="510" t="s">
        <v>398</v>
      </c>
      <c r="G1059" s="511" t="s">
        <v>399</v>
      </c>
      <c r="H1059" s="512" t="s">
        <v>400</v>
      </c>
      <c r="I1059" s="101" t="s">
        <v>2322</v>
      </c>
      <c r="J1059" s="589" t="s">
        <v>3927</v>
      </c>
      <c r="K1059" s="590" t="s">
        <v>3250</v>
      </c>
      <c r="L1059" s="591" t="s">
        <v>1</v>
      </c>
      <c r="M1059" s="590" t="s">
        <v>3486</v>
      </c>
      <c r="N1059" s="640" t="s">
        <v>3487</v>
      </c>
      <c r="O1059" s="339" t="s">
        <v>2324</v>
      </c>
    </row>
    <row r="1060" spans="1:15" s="45" customFormat="1" x14ac:dyDescent="0.25">
      <c r="A1060" s="107" t="s">
        <v>545</v>
      </c>
      <c r="B1060" s="237" t="s">
        <v>847</v>
      </c>
      <c r="C1060" s="215" t="s">
        <v>4230</v>
      </c>
      <c r="D1060" s="41">
        <v>43.98</v>
      </c>
      <c r="E1060" s="41">
        <v>26.4</v>
      </c>
      <c r="F1060" s="116">
        <f t="shared" ref="F1060:F1070" si="38">AVERAGE(G1060:H1060)</f>
        <v>5600</v>
      </c>
      <c r="G1060" s="17">
        <v>5800</v>
      </c>
      <c r="H1060" s="112">
        <v>5400</v>
      </c>
      <c r="I1060" s="97" t="s">
        <v>58</v>
      </c>
      <c r="J1060" s="40" t="s">
        <v>607</v>
      </c>
      <c r="K1060" s="194" t="s">
        <v>608</v>
      </c>
      <c r="L1060" s="17" t="s">
        <v>14</v>
      </c>
      <c r="M1060" s="108" t="s">
        <v>609</v>
      </c>
      <c r="N1060" s="230" t="s">
        <v>610</v>
      </c>
      <c r="O1060" s="206"/>
    </row>
    <row r="1061" spans="1:15" s="45" customFormat="1" x14ac:dyDescent="0.25">
      <c r="A1061" s="107" t="s">
        <v>545</v>
      </c>
      <c r="B1061" s="237" t="s">
        <v>848</v>
      </c>
      <c r="C1061" s="215" t="s">
        <v>4230</v>
      </c>
      <c r="D1061" s="41">
        <v>43.98</v>
      </c>
      <c r="E1061" s="41">
        <v>26.4</v>
      </c>
      <c r="F1061" s="116">
        <f t="shared" si="38"/>
        <v>5600</v>
      </c>
      <c r="G1061" s="17">
        <v>5800</v>
      </c>
      <c r="H1061" s="112">
        <v>5400</v>
      </c>
      <c r="I1061" s="97" t="s">
        <v>58</v>
      </c>
      <c r="J1061" s="40" t="s">
        <v>611</v>
      </c>
      <c r="K1061" s="194" t="s">
        <v>608</v>
      </c>
      <c r="L1061" s="17" t="s">
        <v>14</v>
      </c>
      <c r="M1061" s="108" t="s">
        <v>612</v>
      </c>
      <c r="N1061" s="230" t="s">
        <v>613</v>
      </c>
      <c r="O1061" s="206"/>
    </row>
    <row r="1062" spans="1:15" s="45" customFormat="1" x14ac:dyDescent="0.25">
      <c r="A1062" s="107" t="s">
        <v>545</v>
      </c>
      <c r="B1062" s="237" t="s">
        <v>849</v>
      </c>
      <c r="C1062" s="215" t="s">
        <v>4230</v>
      </c>
      <c r="D1062" s="41">
        <v>43.98</v>
      </c>
      <c r="E1062" s="41">
        <v>26.4</v>
      </c>
      <c r="F1062" s="116">
        <f t="shared" si="38"/>
        <v>5600</v>
      </c>
      <c r="G1062" s="17">
        <v>5800</v>
      </c>
      <c r="H1062" s="112">
        <v>5400</v>
      </c>
      <c r="I1062" s="97" t="s">
        <v>614</v>
      </c>
      <c r="J1062" s="40" t="s">
        <v>69</v>
      </c>
      <c r="K1062" s="194" t="s">
        <v>608</v>
      </c>
      <c r="L1062" s="17" t="s">
        <v>2</v>
      </c>
      <c r="M1062" s="108" t="s">
        <v>615</v>
      </c>
      <c r="N1062" s="230" t="s">
        <v>616</v>
      </c>
      <c r="O1062" s="206"/>
    </row>
    <row r="1063" spans="1:15" s="45" customFormat="1" x14ac:dyDescent="0.25">
      <c r="A1063" s="107" t="s">
        <v>545</v>
      </c>
      <c r="B1063" s="237" t="s">
        <v>850</v>
      </c>
      <c r="C1063" s="215" t="s">
        <v>4230</v>
      </c>
      <c r="D1063" s="41">
        <v>43.98</v>
      </c>
      <c r="E1063" s="41">
        <v>26.4</v>
      </c>
      <c r="F1063" s="116">
        <f t="shared" si="38"/>
        <v>5600</v>
      </c>
      <c r="G1063" s="17">
        <v>5800</v>
      </c>
      <c r="H1063" s="112">
        <v>5400</v>
      </c>
      <c r="I1063" s="97" t="s">
        <v>617</v>
      </c>
      <c r="J1063" s="40" t="s">
        <v>69</v>
      </c>
      <c r="K1063" s="194" t="s">
        <v>608</v>
      </c>
      <c r="L1063" s="17" t="s">
        <v>2</v>
      </c>
      <c r="M1063" s="108" t="s">
        <v>618</v>
      </c>
      <c r="N1063" s="230" t="s">
        <v>619</v>
      </c>
      <c r="O1063" s="206"/>
    </row>
    <row r="1064" spans="1:15" s="45" customFormat="1" x14ac:dyDescent="0.25">
      <c r="A1064" s="107" t="s">
        <v>545</v>
      </c>
      <c r="B1064" s="237" t="s">
        <v>851</v>
      </c>
      <c r="C1064" s="215" t="s">
        <v>4230</v>
      </c>
      <c r="D1064" s="41">
        <v>43.98</v>
      </c>
      <c r="E1064" s="41">
        <v>26.4</v>
      </c>
      <c r="F1064" s="116">
        <f t="shared" si="38"/>
        <v>5600</v>
      </c>
      <c r="G1064" s="17">
        <v>5800</v>
      </c>
      <c r="H1064" s="112">
        <v>5400</v>
      </c>
      <c r="I1064" s="97" t="s">
        <v>38</v>
      </c>
      <c r="J1064" s="40" t="s">
        <v>335</v>
      </c>
      <c r="K1064" s="194" t="s">
        <v>608</v>
      </c>
      <c r="L1064" s="17" t="s">
        <v>14</v>
      </c>
      <c r="M1064" s="108" t="s">
        <v>620</v>
      </c>
      <c r="N1064" s="230" t="s">
        <v>621</v>
      </c>
      <c r="O1064" s="206" t="s">
        <v>972</v>
      </c>
    </row>
    <row r="1065" spans="1:15" s="45" customFormat="1" x14ac:dyDescent="0.25">
      <c r="A1065" s="107" t="s">
        <v>545</v>
      </c>
      <c r="B1065" s="237" t="s">
        <v>852</v>
      </c>
      <c r="C1065" s="215" t="s">
        <v>4230</v>
      </c>
      <c r="D1065" s="41">
        <v>43.98</v>
      </c>
      <c r="E1065" s="41">
        <v>26.4</v>
      </c>
      <c r="F1065" s="116">
        <f t="shared" si="38"/>
        <v>5600</v>
      </c>
      <c r="G1065" s="17">
        <v>5800</v>
      </c>
      <c r="H1065" s="112">
        <v>5400</v>
      </c>
      <c r="I1065" s="97" t="s">
        <v>622</v>
      </c>
      <c r="J1065" s="40" t="s">
        <v>547</v>
      </c>
      <c r="K1065" s="194" t="s">
        <v>608</v>
      </c>
      <c r="L1065" s="17" t="s">
        <v>14</v>
      </c>
      <c r="M1065" s="108" t="s">
        <v>623</v>
      </c>
      <c r="N1065" s="230" t="s">
        <v>624</v>
      </c>
      <c r="O1065" s="206"/>
    </row>
    <row r="1066" spans="1:15" s="45" customFormat="1" x14ac:dyDescent="0.25">
      <c r="A1066" s="107" t="s">
        <v>545</v>
      </c>
      <c r="B1066" s="237" t="s">
        <v>853</v>
      </c>
      <c r="C1066" s="215" t="s">
        <v>4230</v>
      </c>
      <c r="D1066" s="41">
        <v>43.98</v>
      </c>
      <c r="E1066" s="41">
        <v>26.4</v>
      </c>
      <c r="F1066" s="116">
        <f t="shared" si="38"/>
        <v>5600</v>
      </c>
      <c r="G1066" s="17">
        <v>5800</v>
      </c>
      <c r="H1066" s="112">
        <v>5400</v>
      </c>
      <c r="I1066" s="97" t="s">
        <v>625</v>
      </c>
      <c r="J1066" s="40" t="s">
        <v>69</v>
      </c>
      <c r="K1066" s="194" t="s">
        <v>608</v>
      </c>
      <c r="L1066" s="17" t="s">
        <v>2</v>
      </c>
      <c r="M1066" s="108" t="s">
        <v>626</v>
      </c>
      <c r="N1066" s="230" t="s">
        <v>627</v>
      </c>
      <c r="O1066" s="206" t="s">
        <v>972</v>
      </c>
    </row>
    <row r="1067" spans="1:15" s="45" customFormat="1" x14ac:dyDescent="0.25">
      <c r="A1067" s="107" t="s">
        <v>545</v>
      </c>
      <c r="B1067" s="237" t="s">
        <v>854</v>
      </c>
      <c r="C1067" s="215" t="s">
        <v>4230</v>
      </c>
      <c r="D1067" s="41">
        <v>43.98</v>
      </c>
      <c r="E1067" s="41">
        <v>26.4</v>
      </c>
      <c r="F1067" s="116">
        <f t="shared" si="38"/>
        <v>5600</v>
      </c>
      <c r="G1067" s="17">
        <v>5800</v>
      </c>
      <c r="H1067" s="112">
        <v>5400</v>
      </c>
      <c r="I1067" s="97" t="s">
        <v>7</v>
      </c>
      <c r="J1067" s="40" t="s">
        <v>69</v>
      </c>
      <c r="K1067" s="194" t="s">
        <v>608</v>
      </c>
      <c r="L1067" s="17" t="s">
        <v>8</v>
      </c>
      <c r="M1067" s="108" t="s">
        <v>628</v>
      </c>
      <c r="N1067" s="230" t="s">
        <v>629</v>
      </c>
      <c r="O1067" s="206"/>
    </row>
    <row r="1068" spans="1:15" s="45" customFormat="1" x14ac:dyDescent="0.25">
      <c r="A1068" s="107" t="s">
        <v>545</v>
      </c>
      <c r="B1068" s="237" t="s">
        <v>855</v>
      </c>
      <c r="C1068" s="215" t="s">
        <v>4230</v>
      </c>
      <c r="D1068" s="41">
        <v>43.98</v>
      </c>
      <c r="E1068" s="41">
        <v>26.4</v>
      </c>
      <c r="F1068" s="116">
        <f t="shared" si="38"/>
        <v>5600</v>
      </c>
      <c r="G1068" s="17">
        <v>5800</v>
      </c>
      <c r="H1068" s="112">
        <v>5400</v>
      </c>
      <c r="I1068" s="97" t="s">
        <v>614</v>
      </c>
      <c r="J1068" s="40" t="s">
        <v>69</v>
      </c>
      <c r="K1068" s="194" t="s">
        <v>608</v>
      </c>
      <c r="L1068" s="17" t="s">
        <v>2</v>
      </c>
      <c r="M1068" s="108" t="s">
        <v>630</v>
      </c>
      <c r="N1068" s="230" t="s">
        <v>631</v>
      </c>
      <c r="O1068" s="206"/>
    </row>
    <row r="1069" spans="1:15" s="45" customFormat="1" x14ac:dyDescent="0.25">
      <c r="A1069" s="107" t="s">
        <v>545</v>
      </c>
      <c r="B1069" s="237" t="s">
        <v>856</v>
      </c>
      <c r="C1069" s="215" t="s">
        <v>4230</v>
      </c>
      <c r="D1069" s="41">
        <v>43.98</v>
      </c>
      <c r="E1069" s="41">
        <v>26.4</v>
      </c>
      <c r="F1069" s="116">
        <f t="shared" si="38"/>
        <v>5600</v>
      </c>
      <c r="G1069" s="17">
        <v>5800</v>
      </c>
      <c r="H1069" s="112">
        <v>5400</v>
      </c>
      <c r="I1069" s="97" t="s">
        <v>18</v>
      </c>
      <c r="J1069" s="40" t="s">
        <v>335</v>
      </c>
      <c r="K1069" s="194" t="s">
        <v>608</v>
      </c>
      <c r="L1069" s="17" t="s">
        <v>14</v>
      </c>
      <c r="M1069" s="108" t="s">
        <v>632</v>
      </c>
      <c r="N1069" s="230" t="s">
        <v>633</v>
      </c>
      <c r="O1069" s="206" t="s">
        <v>972</v>
      </c>
    </row>
    <row r="1070" spans="1:15" s="45" customFormat="1" x14ac:dyDescent="0.25">
      <c r="A1070" s="107" t="s">
        <v>4127</v>
      </c>
      <c r="B1070" s="520" t="s">
        <v>4135</v>
      </c>
      <c r="C1070" s="215" t="s">
        <v>4230</v>
      </c>
      <c r="D1070" s="518">
        <v>43.98</v>
      </c>
      <c r="E1070" s="518">
        <v>26.4</v>
      </c>
      <c r="F1070" s="116">
        <f t="shared" si="38"/>
        <v>6029</v>
      </c>
      <c r="G1070" s="17">
        <v>6073</v>
      </c>
      <c r="H1070" s="112">
        <v>5985</v>
      </c>
      <c r="I1070" s="319" t="s">
        <v>7</v>
      </c>
      <c r="J1070" s="344" t="s">
        <v>4144</v>
      </c>
      <c r="K1070" s="342" t="s">
        <v>4139</v>
      </c>
      <c r="L1070" s="514" t="s">
        <v>14</v>
      </c>
      <c r="M1070" s="342" t="s">
        <v>628</v>
      </c>
      <c r="N1070" s="230"/>
      <c r="O1070" s="343"/>
    </row>
    <row r="1071" spans="1:15" s="45" customFormat="1" x14ac:dyDescent="0.25">
      <c r="A1071" s="107" t="s">
        <v>4127</v>
      </c>
      <c r="B1071" s="520" t="s">
        <v>4135</v>
      </c>
      <c r="C1071" s="215" t="s">
        <v>4230</v>
      </c>
      <c r="D1071" s="518">
        <v>43.98</v>
      </c>
      <c r="E1071" s="518">
        <v>26.4</v>
      </c>
      <c r="F1071" s="116">
        <f>AVERAGE(G1071:H1071)</f>
        <v>5888</v>
      </c>
      <c r="G1071" s="17">
        <v>5983</v>
      </c>
      <c r="H1071" s="112">
        <v>5793</v>
      </c>
      <c r="I1071" s="319" t="s">
        <v>614</v>
      </c>
      <c r="J1071" s="344" t="s">
        <v>69</v>
      </c>
      <c r="K1071" s="342" t="s">
        <v>4139</v>
      </c>
      <c r="L1071" s="514" t="s">
        <v>2</v>
      </c>
      <c r="M1071" s="342" t="s">
        <v>630</v>
      </c>
      <c r="N1071" s="230"/>
      <c r="O1071" s="343"/>
    </row>
    <row r="1072" spans="1:15" s="45" customFormat="1" x14ac:dyDescent="0.25">
      <c r="A1072" s="107" t="s">
        <v>4127</v>
      </c>
      <c r="B1072" s="520" t="s">
        <v>4135</v>
      </c>
      <c r="C1072" s="215" t="s">
        <v>4230</v>
      </c>
      <c r="D1072" s="518">
        <v>43.98</v>
      </c>
      <c r="E1072" s="518">
        <v>26.4</v>
      </c>
      <c r="F1072" s="116">
        <f>AVERAGE(G1072:H1072)</f>
        <v>5652</v>
      </c>
      <c r="G1072" s="17">
        <v>5733</v>
      </c>
      <c r="H1072" s="112">
        <v>5571</v>
      </c>
      <c r="I1072" s="319" t="s">
        <v>622</v>
      </c>
      <c r="J1072" s="344" t="s">
        <v>4146</v>
      </c>
      <c r="K1072" s="342" t="s">
        <v>4139</v>
      </c>
      <c r="L1072" s="514" t="s">
        <v>14</v>
      </c>
      <c r="M1072" s="342" t="s">
        <v>623</v>
      </c>
      <c r="N1072" s="230"/>
      <c r="O1072" s="343"/>
    </row>
    <row r="1073" spans="1:18" s="45" customFormat="1" x14ac:dyDescent="0.25">
      <c r="A1073" s="107" t="s">
        <v>4127</v>
      </c>
      <c r="B1073" s="520" t="s">
        <v>4135</v>
      </c>
      <c r="C1073" s="215" t="s">
        <v>4230</v>
      </c>
      <c r="D1073" s="518">
        <v>43.98</v>
      </c>
      <c r="E1073" s="518">
        <v>26.4</v>
      </c>
      <c r="F1073" s="116">
        <f>AVERAGE(G1073:H1073)</f>
        <v>5600</v>
      </c>
      <c r="G1073" s="17">
        <v>5800</v>
      </c>
      <c r="H1073" s="112">
        <v>5400</v>
      </c>
      <c r="I1073" s="319" t="s">
        <v>82</v>
      </c>
      <c r="J1073" s="344" t="s">
        <v>4147</v>
      </c>
      <c r="K1073" s="342" t="s">
        <v>4139</v>
      </c>
      <c r="L1073" s="514" t="s">
        <v>14</v>
      </c>
      <c r="M1073" s="342" t="s">
        <v>4134</v>
      </c>
      <c r="N1073" s="230"/>
      <c r="O1073" s="343"/>
    </row>
    <row r="1074" spans="1:18" s="45" customFormat="1" x14ac:dyDescent="0.25">
      <c r="A1074" s="665" t="s">
        <v>4231</v>
      </c>
      <c r="B1074" s="669"/>
      <c r="C1074" s="670"/>
      <c r="D1074" s="684">
        <f>AVERAGE(D1060:D1073)</f>
        <v>43.980000000000011</v>
      </c>
      <c r="E1074" s="684">
        <f>AVERAGE(E1060:E1073)</f>
        <v>26.399999999999995</v>
      </c>
      <c r="F1074" s="685">
        <f>AVERAGE(F1060:F1073)</f>
        <v>5654.9285714285716</v>
      </c>
      <c r="G1074" s="12"/>
      <c r="H1074" s="113"/>
      <c r="I1074" s="358"/>
      <c r="J1074" s="281"/>
      <c r="K1074" s="232"/>
      <c r="L1074" s="29"/>
      <c r="M1074" s="232"/>
      <c r="N1074" s="354"/>
      <c r="O1074" s="61"/>
    </row>
    <row r="1075" spans="1:18" s="99" customFormat="1" x14ac:dyDescent="0.25">
      <c r="A1075" s="109" t="s">
        <v>4620</v>
      </c>
      <c r="B1075" s="373"/>
      <c r="C1075" s="374"/>
      <c r="D1075" s="375"/>
      <c r="E1075" s="375"/>
      <c r="F1075" s="376"/>
      <c r="G1075" s="377"/>
      <c r="H1075" s="113"/>
      <c r="I1075" s="378"/>
      <c r="J1075" s="378"/>
      <c r="K1075" s="232"/>
      <c r="L1075" s="379"/>
      <c r="M1075" s="232"/>
      <c r="N1075" s="354"/>
      <c r="O1075" s="372"/>
    </row>
    <row r="1076" spans="1:18" s="99" customFormat="1" x14ac:dyDescent="0.25">
      <c r="A1076" s="109" t="s">
        <v>4621</v>
      </c>
      <c r="B1076" s="373"/>
      <c r="C1076" s="374"/>
      <c r="D1076" s="375"/>
      <c r="E1076" s="375"/>
      <c r="F1076" s="376"/>
      <c r="G1076" s="377"/>
      <c r="H1076" s="113"/>
      <c r="I1076" s="378"/>
      <c r="J1076" s="378"/>
      <c r="K1076" s="232"/>
      <c r="L1076" s="379"/>
      <c r="M1076" s="232"/>
      <c r="N1076" s="354"/>
      <c r="O1076" s="372"/>
    </row>
    <row r="1077" spans="1:18" s="99" customFormat="1" x14ac:dyDescent="0.25">
      <c r="A1077" s="109"/>
      <c r="B1077" s="373"/>
      <c r="C1077" s="374"/>
      <c r="D1077" s="375"/>
      <c r="E1077" s="375"/>
      <c r="F1077" s="376"/>
      <c r="G1077" s="377"/>
      <c r="H1077" s="113"/>
      <c r="I1077" s="378"/>
      <c r="J1077" s="378"/>
      <c r="K1077" s="232"/>
      <c r="L1077" s="379"/>
      <c r="M1077" s="232"/>
      <c r="N1077" s="354"/>
      <c r="O1077" s="372"/>
    </row>
    <row r="1078" spans="1:18" s="99" customFormat="1" x14ac:dyDescent="0.25">
      <c r="A1078" s="667" t="s">
        <v>4244</v>
      </c>
      <c r="B1078" s="802"/>
      <c r="C1078" s="374"/>
      <c r="D1078" s="375"/>
      <c r="E1078" s="375"/>
      <c r="F1078" s="376"/>
      <c r="G1078" s="377"/>
      <c r="H1078" s="113"/>
      <c r="I1078" s="378"/>
      <c r="J1078" s="378"/>
      <c r="K1078" s="232"/>
      <c r="L1078" s="379"/>
      <c r="M1078" s="232"/>
      <c r="N1078" s="354"/>
      <c r="O1078" s="372"/>
    </row>
    <row r="1079" spans="1:18" s="100" customFormat="1" ht="32.450000000000003" customHeight="1" x14ac:dyDescent="0.25">
      <c r="A1079" s="507" t="s">
        <v>4291</v>
      </c>
      <c r="B1079" s="508" t="s">
        <v>1247</v>
      </c>
      <c r="C1079" s="519" t="s">
        <v>0</v>
      </c>
      <c r="D1079" s="510" t="s">
        <v>969</v>
      </c>
      <c r="E1079" s="510" t="s">
        <v>2323</v>
      </c>
      <c r="F1079" s="510" t="s">
        <v>398</v>
      </c>
      <c r="G1079" s="511" t="s">
        <v>399</v>
      </c>
      <c r="H1079" s="512" t="s">
        <v>400</v>
      </c>
      <c r="I1079" s="101" t="s">
        <v>2322</v>
      </c>
      <c r="J1079" s="589" t="s">
        <v>3927</v>
      </c>
      <c r="K1079" s="590" t="s">
        <v>3250</v>
      </c>
      <c r="L1079" s="591" t="s">
        <v>1</v>
      </c>
      <c r="M1079" s="590" t="s">
        <v>3486</v>
      </c>
      <c r="N1079" s="640" t="s">
        <v>3487</v>
      </c>
      <c r="O1079" s="339" t="s">
        <v>2324</v>
      </c>
    </row>
    <row r="1080" spans="1:18" x14ac:dyDescent="0.25">
      <c r="A1080" s="87" t="s">
        <v>545</v>
      </c>
      <c r="B1080" s="526" t="s">
        <v>1850</v>
      </c>
      <c r="C1080" s="521" t="s">
        <v>4537</v>
      </c>
      <c r="D1080" s="41">
        <v>44.552923999999997</v>
      </c>
      <c r="E1080" s="41">
        <v>22.027563000000001</v>
      </c>
      <c r="F1080" s="116">
        <f>(G1080+H1080)/2</f>
        <v>5734</v>
      </c>
      <c r="G1080" s="27">
        <v>5836</v>
      </c>
      <c r="H1080" s="115">
        <v>5632</v>
      </c>
      <c r="I1080" s="76" t="s">
        <v>32</v>
      </c>
      <c r="J1080" s="40" t="s">
        <v>69</v>
      </c>
      <c r="K1080" s="417" t="s">
        <v>4252</v>
      </c>
      <c r="L1080" s="88" t="s">
        <v>2</v>
      </c>
      <c r="M1080" s="108" t="s">
        <v>1861</v>
      </c>
      <c r="N1080" s="230" t="s">
        <v>1862</v>
      </c>
      <c r="O1080" s="209" t="s">
        <v>4215</v>
      </c>
    </row>
    <row r="1081" spans="1:18" ht="13.15" customHeight="1" x14ac:dyDescent="0.25">
      <c r="A1081" s="194" t="s">
        <v>2297</v>
      </c>
      <c r="B1081" s="526" t="s">
        <v>1850</v>
      </c>
      <c r="C1081" s="521" t="s">
        <v>4537</v>
      </c>
      <c r="D1081" s="41">
        <v>44.552923999999997</v>
      </c>
      <c r="E1081" s="41">
        <v>22.027563000000001</v>
      </c>
      <c r="F1081" s="116">
        <f>(G1081+H1081)/2</f>
        <v>5863</v>
      </c>
      <c r="G1081" s="27">
        <f>7931-1949</f>
        <v>5982</v>
      </c>
      <c r="H1081" s="115">
        <f>7693-1949</f>
        <v>5744</v>
      </c>
      <c r="I1081" s="76" t="s">
        <v>3</v>
      </c>
      <c r="J1081" s="418" t="s">
        <v>2372</v>
      </c>
      <c r="K1081" s="417" t="s">
        <v>4251</v>
      </c>
      <c r="L1081" s="596" t="s">
        <v>14</v>
      </c>
      <c r="M1081" s="525" t="s">
        <v>1857</v>
      </c>
      <c r="N1081" s="641"/>
      <c r="O1081" s="209" t="s">
        <v>4051</v>
      </c>
    </row>
    <row r="1082" spans="1:18" ht="13.15" customHeight="1" x14ac:dyDescent="0.25">
      <c r="A1082" s="825" t="s">
        <v>4556</v>
      </c>
      <c r="B1082" s="826"/>
      <c r="C1082" s="827"/>
      <c r="D1082" s="828"/>
      <c r="E1082" s="828"/>
      <c r="F1082" s="823"/>
      <c r="G1082" s="829"/>
      <c r="H1082" s="829"/>
      <c r="I1082" s="824"/>
      <c r="J1082" s="824"/>
      <c r="K1082" s="830"/>
      <c r="L1082" s="831"/>
      <c r="M1082" s="832"/>
      <c r="N1082" s="833"/>
      <c r="O1082" s="834"/>
      <c r="P1082" s="835"/>
      <c r="Q1082" s="835"/>
      <c r="R1082" s="835"/>
    </row>
    <row r="1083" spans="1:18" x14ac:dyDescent="0.25">
      <c r="A1083" s="87" t="s">
        <v>545</v>
      </c>
      <c r="B1083" s="526" t="s">
        <v>1850</v>
      </c>
      <c r="C1083" s="521" t="s">
        <v>4537</v>
      </c>
      <c r="D1083" s="41">
        <v>44.552923999999997</v>
      </c>
      <c r="E1083" s="41">
        <v>22.027563000000001</v>
      </c>
      <c r="F1083" s="116">
        <f t="shared" ref="F1083:F1087" si="39">(G1083+H1083)/2</f>
        <v>6067</v>
      </c>
      <c r="G1083" s="27">
        <v>6222</v>
      </c>
      <c r="H1083" s="115">
        <v>5912</v>
      </c>
      <c r="I1083" s="76" t="s">
        <v>1858</v>
      </c>
      <c r="J1083" s="40" t="s">
        <v>1551</v>
      </c>
      <c r="K1083" s="417" t="s">
        <v>4078</v>
      </c>
      <c r="L1083" s="88" t="s">
        <v>14</v>
      </c>
      <c r="M1083" s="108" t="s">
        <v>1859</v>
      </c>
      <c r="N1083" s="230" t="s">
        <v>1860</v>
      </c>
      <c r="O1083" s="209" t="s">
        <v>4223</v>
      </c>
    </row>
    <row r="1084" spans="1:18" ht="15.75" thickBot="1" x14ac:dyDescent="0.3">
      <c r="A1084" s="87" t="s">
        <v>545</v>
      </c>
      <c r="B1084" s="526" t="s">
        <v>1850</v>
      </c>
      <c r="C1084" s="521" t="s">
        <v>4537</v>
      </c>
      <c r="D1084" s="41">
        <v>44.552923999999997</v>
      </c>
      <c r="E1084" s="41">
        <v>22.027563000000001</v>
      </c>
      <c r="F1084" s="116">
        <f t="shared" si="39"/>
        <v>6056</v>
      </c>
      <c r="G1084" s="27">
        <v>6205</v>
      </c>
      <c r="H1084" s="115">
        <v>5907</v>
      </c>
      <c r="I1084" s="76" t="s">
        <v>614</v>
      </c>
      <c r="J1084" s="40" t="s">
        <v>69</v>
      </c>
      <c r="K1084" s="417" t="s">
        <v>4079</v>
      </c>
      <c r="L1084" s="88" t="s">
        <v>2</v>
      </c>
      <c r="M1084" s="108" t="s">
        <v>1863</v>
      </c>
      <c r="N1084" s="230" t="s">
        <v>1864</v>
      </c>
      <c r="O1084" s="209" t="s">
        <v>4223</v>
      </c>
    </row>
    <row r="1085" spans="1:18" ht="12.6" customHeight="1" thickBot="1" x14ac:dyDescent="0.3">
      <c r="A1085" s="194" t="s">
        <v>2297</v>
      </c>
      <c r="B1085" s="526" t="s">
        <v>1850</v>
      </c>
      <c r="C1085" s="521" t="s">
        <v>4537</v>
      </c>
      <c r="D1085" s="41">
        <v>44.552923999999997</v>
      </c>
      <c r="E1085" s="41">
        <v>22.027563000000001</v>
      </c>
      <c r="F1085" s="116">
        <f t="shared" si="39"/>
        <v>5990.5</v>
      </c>
      <c r="G1085" s="27">
        <f>8012-1949</f>
        <v>6063</v>
      </c>
      <c r="H1085" s="115">
        <f>7867-1949</f>
        <v>5918</v>
      </c>
      <c r="I1085" s="178" t="s">
        <v>787</v>
      </c>
      <c r="J1085" s="40" t="s">
        <v>930</v>
      </c>
      <c r="K1085" s="417" t="s">
        <v>4079</v>
      </c>
      <c r="L1085" s="596" t="s">
        <v>14</v>
      </c>
      <c r="M1085" s="525" t="s">
        <v>1869</v>
      </c>
      <c r="N1085" s="641"/>
      <c r="O1085" s="209" t="s">
        <v>4549</v>
      </c>
    </row>
    <row r="1086" spans="1:18" s="92" customFormat="1" ht="12" customHeight="1" x14ac:dyDescent="0.25">
      <c r="A1086" s="316" t="s">
        <v>3996</v>
      </c>
      <c r="B1086" s="526" t="s">
        <v>1850</v>
      </c>
      <c r="C1086" s="521" t="s">
        <v>4225</v>
      </c>
      <c r="D1086" s="41">
        <v>44.552923999999997</v>
      </c>
      <c r="E1086" s="41">
        <v>22.027563000000001</v>
      </c>
      <c r="F1086" s="570">
        <f t="shared" si="39"/>
        <v>6075</v>
      </c>
      <c r="G1086" s="580">
        <v>6200</v>
      </c>
      <c r="H1086" s="580">
        <v>5950</v>
      </c>
      <c r="I1086" s="326" t="s">
        <v>622</v>
      </c>
      <c r="J1086" s="40" t="s">
        <v>69</v>
      </c>
      <c r="K1086" s="417" t="s">
        <v>4079</v>
      </c>
      <c r="L1086" s="90" t="s">
        <v>14</v>
      </c>
      <c r="M1086" s="325" t="s">
        <v>2252</v>
      </c>
      <c r="N1086" s="239"/>
      <c r="O1086" s="209" t="s">
        <v>4550</v>
      </c>
    </row>
    <row r="1087" spans="1:18" s="92" customFormat="1" ht="12" customHeight="1" x14ac:dyDescent="0.25">
      <c r="A1087" s="316" t="s">
        <v>3996</v>
      </c>
      <c r="B1087" s="526" t="s">
        <v>1850</v>
      </c>
      <c r="C1087" s="521" t="s">
        <v>4225</v>
      </c>
      <c r="D1087" s="41">
        <v>44.552923999999997</v>
      </c>
      <c r="E1087" s="41">
        <v>22.027563000000001</v>
      </c>
      <c r="F1087" s="570">
        <f t="shared" si="39"/>
        <v>6075</v>
      </c>
      <c r="G1087" s="580">
        <v>6200</v>
      </c>
      <c r="H1087" s="580">
        <v>5950</v>
      </c>
      <c r="I1087" s="219" t="s">
        <v>58</v>
      </c>
      <c r="J1087" s="40" t="s">
        <v>69</v>
      </c>
      <c r="K1087" s="417" t="s">
        <v>4079</v>
      </c>
      <c r="L1087" s="90" t="s">
        <v>14</v>
      </c>
      <c r="M1087" s="325" t="s">
        <v>2253</v>
      </c>
      <c r="N1087" s="239"/>
      <c r="O1087" s="209" t="s">
        <v>4551</v>
      </c>
    </row>
    <row r="1088" spans="1:18" s="92" customFormat="1" ht="12" customHeight="1" x14ac:dyDescent="0.25">
      <c r="A1088" s="524" t="s">
        <v>3996</v>
      </c>
      <c r="B1088" s="526" t="s">
        <v>1850</v>
      </c>
      <c r="C1088" s="521" t="s">
        <v>4225</v>
      </c>
      <c r="D1088" s="41">
        <v>44.552923999999997</v>
      </c>
      <c r="E1088" s="41">
        <v>22.027563000000001</v>
      </c>
      <c r="F1088" s="511">
        <v>6492</v>
      </c>
      <c r="G1088" s="321">
        <f>F1088+96</f>
        <v>6588</v>
      </c>
      <c r="H1088" s="517">
        <f>F1088-96</f>
        <v>6396</v>
      </c>
      <c r="I1088" s="326" t="s">
        <v>952</v>
      </c>
      <c r="J1088" s="315" t="s">
        <v>69</v>
      </c>
      <c r="K1088" s="417"/>
      <c r="L1088" s="90" t="s">
        <v>14</v>
      </c>
      <c r="M1088" s="280" t="s">
        <v>2254</v>
      </c>
      <c r="N1088" s="239"/>
      <c r="O1088" s="209" t="s">
        <v>4553</v>
      </c>
    </row>
    <row r="1089" spans="1:18" s="92" customFormat="1" ht="12" customHeight="1" x14ac:dyDescent="0.25">
      <c r="A1089" s="524" t="s">
        <v>3996</v>
      </c>
      <c r="B1089" s="526" t="s">
        <v>1850</v>
      </c>
      <c r="C1089" s="521" t="s">
        <v>4225</v>
      </c>
      <c r="D1089" s="41">
        <v>44.552923999999997</v>
      </c>
      <c r="E1089" s="41">
        <v>22.027563000000001</v>
      </c>
      <c r="F1089" s="511">
        <v>6120</v>
      </c>
      <c r="G1089" s="321">
        <f>F1089+102</f>
        <v>6222</v>
      </c>
      <c r="H1089" s="517">
        <f>F1089-102</f>
        <v>6018</v>
      </c>
      <c r="I1089" s="326" t="s">
        <v>18</v>
      </c>
      <c r="J1089" s="315" t="s">
        <v>69</v>
      </c>
      <c r="K1089" s="417"/>
      <c r="L1089" s="90" t="s">
        <v>2</v>
      </c>
      <c r="M1089" s="280" t="s">
        <v>4039</v>
      </c>
      <c r="N1089" s="239"/>
      <c r="O1089" s="209" t="s">
        <v>4223</v>
      </c>
    </row>
    <row r="1090" spans="1:18" s="92" customFormat="1" ht="12" customHeight="1" x14ac:dyDescent="0.25">
      <c r="A1090" s="316" t="s">
        <v>3996</v>
      </c>
      <c r="B1090" s="526" t="s">
        <v>1850</v>
      </c>
      <c r="C1090" s="521" t="s">
        <v>4225</v>
      </c>
      <c r="D1090" s="41">
        <v>44.552923999999997</v>
      </c>
      <c r="E1090" s="41">
        <v>22.027563000000001</v>
      </c>
      <c r="F1090" s="570">
        <v>6111.5</v>
      </c>
      <c r="G1090" s="580">
        <f>F1090+104.5</f>
        <v>6216</v>
      </c>
      <c r="H1090" s="580">
        <f>F1090-104.5</f>
        <v>6007</v>
      </c>
      <c r="I1090" s="326" t="s">
        <v>1480</v>
      </c>
      <c r="J1090" s="315" t="s">
        <v>69</v>
      </c>
      <c r="K1090" s="417" t="s">
        <v>4079</v>
      </c>
      <c r="L1090" s="90" t="s">
        <v>2</v>
      </c>
      <c r="M1090" s="325" t="s">
        <v>2256</v>
      </c>
      <c r="N1090" s="239"/>
      <c r="O1090" s="209" t="s">
        <v>4552</v>
      </c>
    </row>
    <row r="1091" spans="1:18" ht="13.15" customHeight="1" x14ac:dyDescent="0.25">
      <c r="A1091" s="825" t="s">
        <v>4557</v>
      </c>
      <c r="B1091" s="826"/>
      <c r="C1091" s="827"/>
      <c r="D1091" s="828"/>
      <c r="E1091" s="828"/>
      <c r="F1091" s="823"/>
      <c r="G1091" s="829"/>
      <c r="H1091" s="829"/>
      <c r="I1091" s="824"/>
      <c r="J1091" s="824"/>
      <c r="K1091" s="830"/>
      <c r="L1091" s="831"/>
      <c r="M1091" s="832"/>
      <c r="N1091" s="833"/>
      <c r="O1091" s="834"/>
      <c r="P1091" s="835"/>
      <c r="Q1091" s="835"/>
      <c r="R1091" s="835"/>
    </row>
    <row r="1092" spans="1:18" s="92" customFormat="1" ht="12" customHeight="1" thickBot="1" x14ac:dyDescent="0.3">
      <c r="A1092" s="524" t="s">
        <v>3996</v>
      </c>
      <c r="B1092" s="526" t="s">
        <v>1850</v>
      </c>
      <c r="C1092" s="521" t="s">
        <v>4225</v>
      </c>
      <c r="D1092" s="41">
        <v>44.552923999999997</v>
      </c>
      <c r="E1092" s="41">
        <v>22.027563000000001</v>
      </c>
      <c r="F1092" s="511"/>
      <c r="G1092" s="321"/>
      <c r="H1092" s="517"/>
      <c r="I1092" s="326" t="s">
        <v>18</v>
      </c>
      <c r="J1092" s="315" t="s">
        <v>69</v>
      </c>
      <c r="K1092" s="194"/>
      <c r="L1092" s="90" t="s">
        <v>69</v>
      </c>
      <c r="M1092" s="280" t="s">
        <v>4016</v>
      </c>
      <c r="N1092" s="239"/>
      <c r="O1092" s="209" t="s">
        <v>4245</v>
      </c>
    </row>
    <row r="1093" spans="1:18" s="92" customFormat="1" ht="12" customHeight="1" thickBot="1" x14ac:dyDescent="0.3">
      <c r="A1093" s="524" t="s">
        <v>3996</v>
      </c>
      <c r="B1093" s="526" t="s">
        <v>1850</v>
      </c>
      <c r="C1093" s="521" t="s">
        <v>4225</v>
      </c>
      <c r="D1093" s="41">
        <v>44.552923999999997</v>
      </c>
      <c r="E1093" s="41">
        <v>22.027563000000001</v>
      </c>
      <c r="F1093" s="511"/>
      <c r="G1093" s="321"/>
      <c r="H1093" s="517"/>
      <c r="I1093" s="327" t="s">
        <v>126</v>
      </c>
      <c r="J1093" s="315" t="s">
        <v>69</v>
      </c>
      <c r="K1093" s="194"/>
      <c r="L1093" s="90" t="s">
        <v>69</v>
      </c>
      <c r="M1093" s="280" t="s">
        <v>4017</v>
      </c>
      <c r="N1093" s="239"/>
      <c r="O1093" s="209" t="s">
        <v>4245</v>
      </c>
    </row>
    <row r="1094" spans="1:18" s="92" customFormat="1" ht="12" customHeight="1" x14ac:dyDescent="0.25">
      <c r="A1094" s="524" t="s">
        <v>3996</v>
      </c>
      <c r="B1094" s="526" t="s">
        <v>1850</v>
      </c>
      <c r="C1094" s="521" t="s">
        <v>4225</v>
      </c>
      <c r="D1094" s="41">
        <v>44.552923999999997</v>
      </c>
      <c r="E1094" s="41">
        <v>22.027563000000001</v>
      </c>
      <c r="F1094" s="511"/>
      <c r="G1094" s="321"/>
      <c r="H1094" s="517"/>
      <c r="I1094" s="326" t="s">
        <v>132</v>
      </c>
      <c r="J1094" s="315" t="s">
        <v>69</v>
      </c>
      <c r="K1094" s="194"/>
      <c r="L1094" s="90" t="s">
        <v>69</v>
      </c>
      <c r="M1094" s="280" t="s">
        <v>4018</v>
      </c>
      <c r="N1094" s="239"/>
      <c r="O1094" s="209" t="s">
        <v>4245</v>
      </c>
    </row>
    <row r="1095" spans="1:18" s="92" customFormat="1" ht="12" customHeight="1" thickBot="1" x14ac:dyDescent="0.3">
      <c r="A1095" s="524" t="s">
        <v>3996</v>
      </c>
      <c r="B1095" s="526" t="s">
        <v>1850</v>
      </c>
      <c r="C1095" s="521" t="s">
        <v>4225</v>
      </c>
      <c r="D1095" s="41">
        <v>44.552923999999997</v>
      </c>
      <c r="E1095" s="41">
        <v>22.027563000000001</v>
      </c>
      <c r="F1095" s="511"/>
      <c r="G1095" s="321"/>
      <c r="H1095" s="517"/>
      <c r="I1095" s="326" t="s">
        <v>4042</v>
      </c>
      <c r="J1095" s="315" t="s">
        <v>69</v>
      </c>
      <c r="K1095" s="194"/>
      <c r="L1095" s="90" t="s">
        <v>69</v>
      </c>
      <c r="M1095" s="280" t="s">
        <v>4019</v>
      </c>
      <c r="N1095" s="239"/>
      <c r="O1095" s="209" t="s">
        <v>4245</v>
      </c>
    </row>
    <row r="1096" spans="1:18" s="92" customFormat="1" ht="12" customHeight="1" thickBot="1" x14ac:dyDescent="0.3">
      <c r="A1096" s="524" t="s">
        <v>3996</v>
      </c>
      <c r="B1096" s="526" t="s">
        <v>1850</v>
      </c>
      <c r="C1096" s="521" t="s">
        <v>4225</v>
      </c>
      <c r="D1096" s="41">
        <v>44.552923999999997</v>
      </c>
      <c r="E1096" s="41">
        <v>22.027563000000001</v>
      </c>
      <c r="F1096" s="511"/>
      <c r="G1096" s="321"/>
      <c r="H1096" s="517"/>
      <c r="I1096" s="327" t="s">
        <v>2400</v>
      </c>
      <c r="J1096" s="315" t="s">
        <v>69</v>
      </c>
      <c r="K1096" s="194"/>
      <c r="L1096" s="90" t="s">
        <v>69</v>
      </c>
      <c r="M1096" s="280" t="s">
        <v>4020</v>
      </c>
      <c r="N1096" s="239"/>
      <c r="O1096" s="209" t="s">
        <v>4245</v>
      </c>
    </row>
    <row r="1097" spans="1:18" s="92" customFormat="1" ht="12" customHeight="1" thickBot="1" x14ac:dyDescent="0.3">
      <c r="A1097" s="524" t="s">
        <v>3996</v>
      </c>
      <c r="B1097" s="526" t="s">
        <v>1850</v>
      </c>
      <c r="C1097" s="521" t="s">
        <v>4225</v>
      </c>
      <c r="D1097" s="41">
        <v>44.552923999999997</v>
      </c>
      <c r="E1097" s="41">
        <v>22.027563000000001</v>
      </c>
      <c r="F1097" s="511"/>
      <c r="G1097" s="321"/>
      <c r="H1097" s="517"/>
      <c r="I1097" s="327" t="s">
        <v>48</v>
      </c>
      <c r="J1097" s="315" t="s">
        <v>69</v>
      </c>
      <c r="K1097" s="194"/>
      <c r="L1097" s="90" t="s">
        <v>69</v>
      </c>
      <c r="M1097" s="280" t="s">
        <v>4021</v>
      </c>
      <c r="N1097" s="239"/>
      <c r="O1097" s="209" t="s">
        <v>4245</v>
      </c>
    </row>
    <row r="1098" spans="1:18" s="92" customFormat="1" ht="12" customHeight="1" x14ac:dyDescent="0.25">
      <c r="A1098" s="524" t="s">
        <v>3996</v>
      </c>
      <c r="B1098" s="526" t="s">
        <v>1850</v>
      </c>
      <c r="C1098" s="521" t="s">
        <v>4225</v>
      </c>
      <c r="D1098" s="41">
        <v>44.552923999999997</v>
      </c>
      <c r="E1098" s="41">
        <v>22.027563000000001</v>
      </c>
      <c r="F1098" s="511"/>
      <c r="G1098" s="321"/>
      <c r="H1098" s="517"/>
      <c r="I1098" s="326" t="s">
        <v>864</v>
      </c>
      <c r="J1098" s="315" t="s">
        <v>69</v>
      </c>
      <c r="K1098" s="194"/>
      <c r="L1098" s="90" t="s">
        <v>69</v>
      </c>
      <c r="M1098" s="280" t="s">
        <v>4022</v>
      </c>
      <c r="N1098" s="239"/>
      <c r="O1098" s="209" t="s">
        <v>4245</v>
      </c>
    </row>
    <row r="1099" spans="1:18" s="92" customFormat="1" ht="12" customHeight="1" x14ac:dyDescent="0.25">
      <c r="A1099" s="524" t="s">
        <v>3996</v>
      </c>
      <c r="B1099" s="526" t="s">
        <v>1850</v>
      </c>
      <c r="C1099" s="521" t="s">
        <v>4225</v>
      </c>
      <c r="D1099" s="41">
        <v>44.552923999999997</v>
      </c>
      <c r="E1099" s="41">
        <v>22.027563000000001</v>
      </c>
      <c r="F1099" s="511"/>
      <c r="G1099" s="321"/>
      <c r="H1099" s="517"/>
      <c r="I1099" s="326" t="s">
        <v>889</v>
      </c>
      <c r="J1099" s="315" t="s">
        <v>69</v>
      </c>
      <c r="K1099" s="194"/>
      <c r="L1099" s="90" t="s">
        <v>69</v>
      </c>
      <c r="M1099" s="280" t="s">
        <v>4023</v>
      </c>
      <c r="N1099" s="239"/>
      <c r="O1099" s="209" t="s">
        <v>4245</v>
      </c>
    </row>
    <row r="1100" spans="1:18" s="92" customFormat="1" ht="12" customHeight="1" x14ac:dyDescent="0.25">
      <c r="A1100" s="524" t="s">
        <v>3996</v>
      </c>
      <c r="B1100" s="526" t="s">
        <v>1850</v>
      </c>
      <c r="C1100" s="521" t="s">
        <v>4225</v>
      </c>
      <c r="D1100" s="41">
        <v>44.552923999999997</v>
      </c>
      <c r="E1100" s="41">
        <v>22.027563000000001</v>
      </c>
      <c r="F1100" s="511"/>
      <c r="G1100" s="321"/>
      <c r="H1100" s="517"/>
      <c r="I1100" s="326" t="s">
        <v>82</v>
      </c>
      <c r="J1100" s="315" t="s">
        <v>69</v>
      </c>
      <c r="K1100" s="194"/>
      <c r="L1100" s="90" t="s">
        <v>69</v>
      </c>
      <c r="M1100" s="280" t="s">
        <v>4024</v>
      </c>
      <c r="N1100" s="239"/>
      <c r="O1100" s="209" t="s">
        <v>4245</v>
      </c>
    </row>
    <row r="1101" spans="1:18" s="92" customFormat="1" ht="12" customHeight="1" x14ac:dyDescent="0.25">
      <c r="A1101" s="524" t="s">
        <v>3996</v>
      </c>
      <c r="B1101" s="526" t="s">
        <v>1850</v>
      </c>
      <c r="C1101" s="521" t="s">
        <v>4225</v>
      </c>
      <c r="D1101" s="41">
        <v>44.552923999999997</v>
      </c>
      <c r="E1101" s="41">
        <v>22.027563000000001</v>
      </c>
      <c r="F1101" s="511"/>
      <c r="G1101" s="321"/>
      <c r="H1101" s="517"/>
      <c r="I1101" s="326" t="s">
        <v>128</v>
      </c>
      <c r="J1101" s="315" t="s">
        <v>69</v>
      </c>
      <c r="K1101" s="194"/>
      <c r="L1101" s="90" t="s">
        <v>69</v>
      </c>
      <c r="M1101" s="280" t="s">
        <v>4025</v>
      </c>
      <c r="N1101" s="239"/>
      <c r="O1101" s="209" t="s">
        <v>4245</v>
      </c>
    </row>
    <row r="1102" spans="1:18" s="92" customFormat="1" ht="12" customHeight="1" x14ac:dyDescent="0.25">
      <c r="A1102" s="524" t="s">
        <v>3996</v>
      </c>
      <c r="B1102" s="526" t="s">
        <v>1850</v>
      </c>
      <c r="C1102" s="521" t="s">
        <v>4225</v>
      </c>
      <c r="D1102" s="41">
        <v>44.552923999999997</v>
      </c>
      <c r="E1102" s="41">
        <v>22.027563000000001</v>
      </c>
      <c r="F1102" s="511"/>
      <c r="G1102" s="321"/>
      <c r="H1102" s="517"/>
      <c r="I1102" s="326" t="s">
        <v>32</v>
      </c>
      <c r="J1102" s="315" t="s">
        <v>69</v>
      </c>
      <c r="K1102" s="194"/>
      <c r="L1102" s="90" t="s">
        <v>69</v>
      </c>
      <c r="M1102" s="280" t="s">
        <v>4026</v>
      </c>
      <c r="N1102" s="239"/>
      <c r="O1102" s="209" t="s">
        <v>4245</v>
      </c>
    </row>
    <row r="1103" spans="1:18" s="92" customFormat="1" ht="12" customHeight="1" thickBot="1" x14ac:dyDescent="0.3">
      <c r="A1103" s="524" t="s">
        <v>3996</v>
      </c>
      <c r="B1103" s="526" t="s">
        <v>1850</v>
      </c>
      <c r="C1103" s="521" t="s">
        <v>4225</v>
      </c>
      <c r="D1103" s="41">
        <v>44.552923999999997</v>
      </c>
      <c r="E1103" s="41">
        <v>22.027563000000001</v>
      </c>
      <c r="F1103" s="511"/>
      <c r="G1103" s="321"/>
      <c r="H1103" s="517"/>
      <c r="I1103" s="326" t="s">
        <v>3024</v>
      </c>
      <c r="J1103" s="315" t="s">
        <v>69</v>
      </c>
      <c r="K1103" s="194"/>
      <c r="L1103" s="90" t="s">
        <v>69</v>
      </c>
      <c r="M1103" s="280" t="s">
        <v>4027</v>
      </c>
      <c r="N1103" s="239"/>
      <c r="O1103" s="209" t="s">
        <v>4245</v>
      </c>
    </row>
    <row r="1104" spans="1:18" s="92" customFormat="1" ht="12" customHeight="1" thickBot="1" x14ac:dyDescent="0.3">
      <c r="A1104" s="524" t="s">
        <v>3996</v>
      </c>
      <c r="B1104" s="526" t="s">
        <v>1850</v>
      </c>
      <c r="C1104" s="521" t="s">
        <v>4225</v>
      </c>
      <c r="D1104" s="41">
        <v>44.552923999999997</v>
      </c>
      <c r="E1104" s="41">
        <v>22.027563000000001</v>
      </c>
      <c r="F1104" s="511"/>
      <c r="G1104" s="321"/>
      <c r="H1104" s="517"/>
      <c r="I1104" s="327" t="s">
        <v>358</v>
      </c>
      <c r="J1104" s="315" t="s">
        <v>69</v>
      </c>
      <c r="K1104" s="194"/>
      <c r="L1104" s="90" t="s">
        <v>69</v>
      </c>
      <c r="M1104" s="280" t="s">
        <v>4028</v>
      </c>
      <c r="N1104" s="239"/>
      <c r="O1104" s="209" t="s">
        <v>4245</v>
      </c>
    </row>
    <row r="1105" spans="1:15" s="92" customFormat="1" ht="12" customHeight="1" thickBot="1" x14ac:dyDescent="0.3">
      <c r="A1105" s="524" t="s">
        <v>3996</v>
      </c>
      <c r="B1105" s="526" t="s">
        <v>1850</v>
      </c>
      <c r="C1105" s="521" t="s">
        <v>4225</v>
      </c>
      <c r="D1105" s="41">
        <v>44.552923999999997</v>
      </c>
      <c r="E1105" s="41">
        <v>22.027563000000001</v>
      </c>
      <c r="F1105" s="511"/>
      <c r="G1105" s="321"/>
      <c r="H1105" s="517"/>
      <c r="I1105" s="326" t="s">
        <v>3025</v>
      </c>
      <c r="J1105" s="315" t="s">
        <v>69</v>
      </c>
      <c r="K1105" s="194"/>
      <c r="L1105" s="90" t="s">
        <v>69</v>
      </c>
      <c r="M1105" s="280" t="s">
        <v>4029</v>
      </c>
      <c r="N1105" s="239"/>
      <c r="O1105" s="209" t="s">
        <v>4245</v>
      </c>
    </row>
    <row r="1106" spans="1:15" s="92" customFormat="1" ht="12" customHeight="1" thickBot="1" x14ac:dyDescent="0.3">
      <c r="A1106" s="524" t="s">
        <v>3996</v>
      </c>
      <c r="B1106" s="526" t="s">
        <v>1850</v>
      </c>
      <c r="C1106" s="521" t="s">
        <v>4225</v>
      </c>
      <c r="D1106" s="41">
        <v>44.552923999999997</v>
      </c>
      <c r="E1106" s="41">
        <v>22.027563000000001</v>
      </c>
      <c r="F1106" s="511"/>
      <c r="G1106" s="321"/>
      <c r="H1106" s="517"/>
      <c r="I1106" s="327" t="s">
        <v>1618</v>
      </c>
      <c r="J1106" s="315" t="s">
        <v>69</v>
      </c>
      <c r="K1106" s="194"/>
      <c r="L1106" s="90" t="s">
        <v>69</v>
      </c>
      <c r="M1106" s="280" t="s">
        <v>4030</v>
      </c>
      <c r="N1106" s="239"/>
      <c r="O1106" s="209" t="s">
        <v>4245</v>
      </c>
    </row>
    <row r="1107" spans="1:15" s="92" customFormat="1" ht="12" customHeight="1" x14ac:dyDescent="0.25">
      <c r="A1107" s="524" t="s">
        <v>3996</v>
      </c>
      <c r="B1107" s="526" t="s">
        <v>1850</v>
      </c>
      <c r="C1107" s="521" t="s">
        <v>4225</v>
      </c>
      <c r="D1107" s="41">
        <v>44.552923999999997</v>
      </c>
      <c r="E1107" s="41">
        <v>22.027563000000001</v>
      </c>
      <c r="F1107" s="511"/>
      <c r="G1107" s="321"/>
      <c r="H1107" s="517"/>
      <c r="I1107" s="326" t="s">
        <v>1200</v>
      </c>
      <c r="J1107" s="315" t="s">
        <v>69</v>
      </c>
      <c r="K1107" s="194"/>
      <c r="L1107" s="90" t="s">
        <v>69</v>
      </c>
      <c r="M1107" s="280" t="s">
        <v>4031</v>
      </c>
      <c r="N1107" s="239"/>
      <c r="O1107" s="209" t="s">
        <v>4245</v>
      </c>
    </row>
    <row r="1108" spans="1:15" s="92" customFormat="1" ht="12" customHeight="1" x14ac:dyDescent="0.25">
      <c r="A1108" s="524" t="s">
        <v>3996</v>
      </c>
      <c r="B1108" s="526" t="s">
        <v>1850</v>
      </c>
      <c r="C1108" s="521" t="s">
        <v>4225</v>
      </c>
      <c r="D1108" s="41">
        <v>44.552923999999997</v>
      </c>
      <c r="E1108" s="41">
        <v>22.027563000000001</v>
      </c>
      <c r="F1108" s="511"/>
      <c r="G1108" s="321"/>
      <c r="H1108" s="517"/>
      <c r="I1108" s="326" t="s">
        <v>742</v>
      </c>
      <c r="J1108" s="315" t="s">
        <v>69</v>
      </c>
      <c r="K1108" s="194"/>
      <c r="L1108" s="90" t="s">
        <v>69</v>
      </c>
      <c r="M1108" s="280" t="s">
        <v>4032</v>
      </c>
      <c r="N1108" s="239"/>
      <c r="O1108" s="209" t="s">
        <v>4245</v>
      </c>
    </row>
    <row r="1109" spans="1:15" s="92" customFormat="1" ht="12" customHeight="1" x14ac:dyDescent="0.25">
      <c r="A1109" s="524" t="s">
        <v>3996</v>
      </c>
      <c r="B1109" s="526" t="s">
        <v>1850</v>
      </c>
      <c r="C1109" s="521" t="s">
        <v>4225</v>
      </c>
      <c r="D1109" s="41">
        <v>44.552923999999997</v>
      </c>
      <c r="E1109" s="41">
        <v>22.027563000000001</v>
      </c>
      <c r="F1109" s="511"/>
      <c r="G1109" s="321"/>
      <c r="H1109" s="517"/>
      <c r="I1109" s="326" t="s">
        <v>617</v>
      </c>
      <c r="J1109" s="315" t="s">
        <v>69</v>
      </c>
      <c r="K1109" s="194"/>
      <c r="L1109" s="90" t="s">
        <v>69</v>
      </c>
      <c r="M1109" s="280" t="s">
        <v>4033</v>
      </c>
      <c r="N1109" s="239"/>
      <c r="O1109" s="209" t="s">
        <v>4245</v>
      </c>
    </row>
    <row r="1110" spans="1:15" s="92" customFormat="1" ht="12" customHeight="1" x14ac:dyDescent="0.25">
      <c r="A1110" s="524" t="s">
        <v>3996</v>
      </c>
      <c r="B1110" s="526" t="s">
        <v>1850</v>
      </c>
      <c r="C1110" s="521" t="s">
        <v>4225</v>
      </c>
      <c r="D1110" s="41">
        <v>44.552923999999997</v>
      </c>
      <c r="E1110" s="41">
        <v>22.027563000000001</v>
      </c>
      <c r="F1110" s="511"/>
      <c r="G1110" s="321"/>
      <c r="H1110" s="517"/>
      <c r="I1110" s="326" t="s">
        <v>622</v>
      </c>
      <c r="J1110" s="315" t="s">
        <v>69</v>
      </c>
      <c r="K1110" s="194"/>
      <c r="L1110" s="90" t="s">
        <v>69</v>
      </c>
      <c r="M1110" s="280" t="s">
        <v>4034</v>
      </c>
      <c r="N1110" s="239"/>
      <c r="O1110" s="209" t="s">
        <v>4245</v>
      </c>
    </row>
    <row r="1111" spans="1:15" s="92" customFormat="1" ht="12" customHeight="1" x14ac:dyDescent="0.25">
      <c r="A1111" s="524" t="s">
        <v>3996</v>
      </c>
      <c r="B1111" s="526" t="s">
        <v>1850</v>
      </c>
      <c r="C1111" s="521" t="s">
        <v>4225</v>
      </c>
      <c r="D1111" s="41">
        <v>44.552923999999997</v>
      </c>
      <c r="E1111" s="41">
        <v>22.027563000000001</v>
      </c>
      <c r="F1111" s="511"/>
      <c r="G1111" s="321"/>
      <c r="H1111" s="517"/>
      <c r="I1111" s="201" t="s">
        <v>622</v>
      </c>
      <c r="J1111" s="315" t="s">
        <v>69</v>
      </c>
      <c r="K1111" s="194"/>
      <c r="L1111" s="90" t="s">
        <v>69</v>
      </c>
      <c r="M1111" s="624" t="s">
        <v>4035</v>
      </c>
      <c r="N1111" s="239"/>
      <c r="O1111" s="209" t="s">
        <v>4245</v>
      </c>
    </row>
    <row r="1112" spans="1:15" s="92" customFormat="1" ht="12" customHeight="1" x14ac:dyDescent="0.25">
      <c r="A1112" s="524" t="s">
        <v>3996</v>
      </c>
      <c r="B1112" s="526" t="s">
        <v>1850</v>
      </c>
      <c r="C1112" s="521" t="s">
        <v>4225</v>
      </c>
      <c r="D1112" s="41">
        <v>44.552923999999997</v>
      </c>
      <c r="E1112" s="41">
        <v>22.027563000000001</v>
      </c>
      <c r="F1112" s="511"/>
      <c r="G1112" s="321"/>
      <c r="H1112" s="517"/>
      <c r="I1112" s="326" t="s">
        <v>871</v>
      </c>
      <c r="J1112" s="315" t="s">
        <v>69</v>
      </c>
      <c r="K1112" s="194"/>
      <c r="L1112" s="90" t="s">
        <v>69</v>
      </c>
      <c r="M1112" s="280" t="s">
        <v>4036</v>
      </c>
      <c r="N1112" s="239"/>
      <c r="O1112" s="209" t="s">
        <v>4245</v>
      </c>
    </row>
    <row r="1113" spans="1:15" s="92" customFormat="1" ht="12" customHeight="1" x14ac:dyDescent="0.25">
      <c r="A1113" s="524" t="s">
        <v>3996</v>
      </c>
      <c r="B1113" s="526" t="s">
        <v>1850</v>
      </c>
      <c r="C1113" s="521" t="s">
        <v>4225</v>
      </c>
      <c r="D1113" s="41">
        <v>44.552923999999997</v>
      </c>
      <c r="E1113" s="41">
        <v>22.027563000000001</v>
      </c>
      <c r="F1113" s="511"/>
      <c r="G1113" s="321"/>
      <c r="H1113" s="517"/>
      <c r="I1113" s="326" t="s">
        <v>952</v>
      </c>
      <c r="J1113" s="315" t="s">
        <v>69</v>
      </c>
      <c r="K1113" s="194"/>
      <c r="L1113" s="90" t="s">
        <v>69</v>
      </c>
      <c r="M1113" s="280" t="s">
        <v>4037</v>
      </c>
      <c r="N1113" s="239"/>
      <c r="O1113" s="209" t="s">
        <v>4245</v>
      </c>
    </row>
    <row r="1114" spans="1:15" s="92" customFormat="1" ht="12" customHeight="1" x14ac:dyDescent="0.25">
      <c r="A1114" s="524" t="s">
        <v>3996</v>
      </c>
      <c r="B1114" s="526" t="s">
        <v>1850</v>
      </c>
      <c r="C1114" s="521" t="s">
        <v>4225</v>
      </c>
      <c r="D1114" s="41">
        <v>44.552923999999997</v>
      </c>
      <c r="E1114" s="41">
        <v>22.027563000000001</v>
      </c>
      <c r="F1114" s="511"/>
      <c r="G1114" s="321"/>
      <c r="H1114" s="517"/>
      <c r="I1114" s="326" t="s">
        <v>952</v>
      </c>
      <c r="J1114" s="315" t="s">
        <v>69</v>
      </c>
      <c r="K1114" s="194"/>
      <c r="L1114" s="90" t="s">
        <v>69</v>
      </c>
      <c r="M1114" s="280" t="s">
        <v>4038</v>
      </c>
      <c r="N1114" s="239"/>
      <c r="O1114" s="209" t="s">
        <v>4245</v>
      </c>
    </row>
    <row r="1115" spans="1:15" s="92" customFormat="1" ht="12" customHeight="1" x14ac:dyDescent="0.25">
      <c r="A1115" s="524" t="s">
        <v>3996</v>
      </c>
      <c r="B1115" s="526" t="s">
        <v>1850</v>
      </c>
      <c r="C1115" s="521" t="s">
        <v>4225</v>
      </c>
      <c r="D1115" s="41">
        <v>44.552923999999997</v>
      </c>
      <c r="E1115" s="41">
        <v>22.027563000000001</v>
      </c>
      <c r="F1115" s="511"/>
      <c r="G1115" s="321"/>
      <c r="H1115" s="517"/>
      <c r="I1115" s="326" t="s">
        <v>617</v>
      </c>
      <c r="J1115" s="315" t="s">
        <v>69</v>
      </c>
      <c r="K1115" s="194"/>
      <c r="L1115" s="90" t="s">
        <v>69</v>
      </c>
      <c r="M1115" s="280" t="s">
        <v>4040</v>
      </c>
      <c r="N1115" s="239"/>
      <c r="O1115" s="209" t="s">
        <v>4245</v>
      </c>
    </row>
    <row r="1116" spans="1:15" s="92" customFormat="1" ht="12" customHeight="1" x14ac:dyDescent="0.25">
      <c r="A1116" s="524" t="s">
        <v>3996</v>
      </c>
      <c r="B1116" s="526" t="s">
        <v>1850</v>
      </c>
      <c r="C1116" s="521" t="s">
        <v>4225</v>
      </c>
      <c r="D1116" s="41">
        <v>44.552923999999997</v>
      </c>
      <c r="E1116" s="41">
        <v>22.027563000000001</v>
      </c>
      <c r="F1116" s="511"/>
      <c r="G1116" s="321"/>
      <c r="H1116" s="517"/>
      <c r="I1116" s="326" t="s">
        <v>1686</v>
      </c>
      <c r="J1116" s="315" t="s">
        <v>69</v>
      </c>
      <c r="K1116" s="194"/>
      <c r="L1116" s="90" t="s">
        <v>69</v>
      </c>
      <c r="M1116" s="280" t="s">
        <v>4041</v>
      </c>
      <c r="N1116" s="239"/>
      <c r="O1116" s="209" t="s">
        <v>4245</v>
      </c>
    </row>
    <row r="1117" spans="1:15" s="92" customFormat="1" ht="12" customHeight="1" x14ac:dyDescent="0.25">
      <c r="A1117" s="316" t="s">
        <v>3996</v>
      </c>
      <c r="B1117" s="526" t="s">
        <v>1872</v>
      </c>
      <c r="C1117" s="521" t="s">
        <v>4225</v>
      </c>
      <c r="D1117" s="581">
        <v>44.53</v>
      </c>
      <c r="E1117" s="581">
        <v>22.05</v>
      </c>
      <c r="F1117" s="570"/>
      <c r="G1117" s="580"/>
      <c r="H1117" s="580"/>
      <c r="I1117" s="326" t="s">
        <v>4074</v>
      </c>
      <c r="J1117" s="315" t="s">
        <v>69</v>
      </c>
      <c r="K1117" s="194"/>
      <c r="L1117" s="90" t="s">
        <v>69</v>
      </c>
      <c r="M1117" s="280" t="s">
        <v>4065</v>
      </c>
      <c r="N1117" s="239"/>
      <c r="O1117" s="209" t="s">
        <v>4245</v>
      </c>
    </row>
    <row r="1118" spans="1:15" s="92" customFormat="1" ht="12" customHeight="1" x14ac:dyDescent="0.25">
      <c r="A1118" s="316" t="s">
        <v>3996</v>
      </c>
      <c r="B1118" s="526" t="s">
        <v>1872</v>
      </c>
      <c r="C1118" s="521" t="s">
        <v>4225</v>
      </c>
      <c r="D1118" s="581">
        <v>44.53</v>
      </c>
      <c r="E1118" s="581">
        <v>22.05</v>
      </c>
      <c r="F1118" s="570"/>
      <c r="G1118" s="580"/>
      <c r="H1118" s="580"/>
      <c r="I1118" s="326" t="s">
        <v>4075</v>
      </c>
      <c r="J1118" s="315" t="s">
        <v>69</v>
      </c>
      <c r="K1118" s="194"/>
      <c r="L1118" s="90" t="s">
        <v>69</v>
      </c>
      <c r="M1118" s="280" t="s">
        <v>4066</v>
      </c>
      <c r="N1118" s="239"/>
      <c r="O1118" s="209" t="s">
        <v>4245</v>
      </c>
    </row>
    <row r="1119" spans="1:15" s="92" customFormat="1" ht="12" customHeight="1" x14ac:dyDescent="0.25">
      <c r="A1119" s="316" t="s">
        <v>3996</v>
      </c>
      <c r="B1119" s="526" t="s">
        <v>1872</v>
      </c>
      <c r="C1119" s="521" t="s">
        <v>4225</v>
      </c>
      <c r="D1119" s="581">
        <v>44.53</v>
      </c>
      <c r="E1119" s="581">
        <v>22.05</v>
      </c>
      <c r="F1119" s="570"/>
      <c r="G1119" s="580"/>
      <c r="H1119" s="580"/>
      <c r="I1119" s="326" t="s">
        <v>617</v>
      </c>
      <c r="J1119" s="315" t="s">
        <v>69</v>
      </c>
      <c r="K1119" s="194"/>
      <c r="L1119" s="90" t="s">
        <v>69</v>
      </c>
      <c r="M1119" s="280" t="s">
        <v>4067</v>
      </c>
      <c r="N1119" s="239"/>
      <c r="O1119" s="209" t="s">
        <v>4245</v>
      </c>
    </row>
    <row r="1120" spans="1:15" s="92" customFormat="1" ht="12" customHeight="1" x14ac:dyDescent="0.25">
      <c r="A1120" s="316" t="s">
        <v>3996</v>
      </c>
      <c r="B1120" s="526" t="s">
        <v>1872</v>
      </c>
      <c r="C1120" s="521" t="s">
        <v>4225</v>
      </c>
      <c r="D1120" s="581">
        <v>44.53</v>
      </c>
      <c r="E1120" s="581">
        <v>22.05</v>
      </c>
      <c r="F1120" s="570"/>
      <c r="G1120" s="580"/>
      <c r="H1120" s="580"/>
      <c r="I1120" s="326" t="s">
        <v>1223</v>
      </c>
      <c r="J1120" s="315" t="s">
        <v>69</v>
      </c>
      <c r="K1120" s="194"/>
      <c r="L1120" s="90" t="s">
        <v>69</v>
      </c>
      <c r="M1120" s="280" t="s">
        <v>4068</v>
      </c>
      <c r="N1120" s="239"/>
      <c r="O1120" s="209" t="s">
        <v>4245</v>
      </c>
    </row>
    <row r="1121" spans="1:15" s="92" customFormat="1" ht="12" customHeight="1" x14ac:dyDescent="0.25">
      <c r="A1121" s="316" t="s">
        <v>3996</v>
      </c>
      <c r="B1121" s="526" t="s">
        <v>1872</v>
      </c>
      <c r="C1121" s="521" t="s">
        <v>4225</v>
      </c>
      <c r="D1121" s="581">
        <v>44.53</v>
      </c>
      <c r="E1121" s="581">
        <v>22.05</v>
      </c>
      <c r="F1121" s="570"/>
      <c r="G1121" s="580"/>
      <c r="H1121" s="580"/>
      <c r="I1121" s="326" t="s">
        <v>4075</v>
      </c>
      <c r="J1121" s="315" t="s">
        <v>69</v>
      </c>
      <c r="K1121" s="194"/>
      <c r="L1121" s="90" t="s">
        <v>69</v>
      </c>
      <c r="M1121" s="280" t="s">
        <v>4069</v>
      </c>
      <c r="N1121" s="239"/>
      <c r="O1121" s="209" t="s">
        <v>4245</v>
      </c>
    </row>
    <row r="1122" spans="1:15" s="92" customFormat="1" ht="12" customHeight="1" x14ac:dyDescent="0.25">
      <c r="A1122" s="316" t="s">
        <v>3996</v>
      </c>
      <c r="B1122" s="526" t="s">
        <v>1872</v>
      </c>
      <c r="C1122" s="521" t="s">
        <v>4225</v>
      </c>
      <c r="D1122" s="581">
        <v>44.53</v>
      </c>
      <c r="E1122" s="581">
        <v>22.05</v>
      </c>
      <c r="F1122" s="570"/>
      <c r="G1122" s="580"/>
      <c r="H1122" s="580"/>
      <c r="I1122" s="326" t="s">
        <v>835</v>
      </c>
      <c r="J1122" s="315" t="s">
        <v>69</v>
      </c>
      <c r="K1122" s="194"/>
      <c r="L1122" s="90" t="s">
        <v>69</v>
      </c>
      <c r="M1122" s="280" t="s">
        <v>4070</v>
      </c>
      <c r="N1122" s="239"/>
      <c r="O1122" s="209" t="s">
        <v>4245</v>
      </c>
    </row>
    <row r="1123" spans="1:15" s="92" customFormat="1" ht="12" customHeight="1" x14ac:dyDescent="0.25">
      <c r="A1123" s="316" t="s">
        <v>3996</v>
      </c>
      <c r="B1123" s="526" t="s">
        <v>1872</v>
      </c>
      <c r="C1123" s="521" t="s">
        <v>4225</v>
      </c>
      <c r="D1123" s="581">
        <v>44.53</v>
      </c>
      <c r="E1123" s="581">
        <v>22.05</v>
      </c>
      <c r="F1123" s="570"/>
      <c r="G1123" s="580"/>
      <c r="H1123" s="580"/>
      <c r="I1123" s="326" t="s">
        <v>622</v>
      </c>
      <c r="J1123" s="315" t="s">
        <v>69</v>
      </c>
      <c r="K1123" s="194"/>
      <c r="L1123" s="90" t="s">
        <v>69</v>
      </c>
      <c r="M1123" s="280" t="s">
        <v>4071</v>
      </c>
      <c r="N1123" s="239"/>
      <c r="O1123" s="209" t="s">
        <v>4245</v>
      </c>
    </row>
    <row r="1124" spans="1:15" s="92" customFormat="1" ht="12" customHeight="1" x14ac:dyDescent="0.25">
      <c r="A1124" s="316" t="s">
        <v>3996</v>
      </c>
      <c r="B1124" s="526" t="s">
        <v>1872</v>
      </c>
      <c r="C1124" s="521" t="s">
        <v>4225</v>
      </c>
      <c r="D1124" s="581">
        <v>44.53</v>
      </c>
      <c r="E1124" s="581">
        <v>22.05</v>
      </c>
      <c r="F1124" s="570"/>
      <c r="G1124" s="580"/>
      <c r="H1124" s="580"/>
      <c r="I1124" s="326" t="s">
        <v>1441</v>
      </c>
      <c r="J1124" s="315" t="s">
        <v>69</v>
      </c>
      <c r="K1124" s="194"/>
      <c r="L1124" s="90" t="s">
        <v>69</v>
      </c>
      <c r="M1124" s="280" t="s">
        <v>4072</v>
      </c>
      <c r="N1124" s="239"/>
      <c r="O1124" s="209" t="s">
        <v>4245</v>
      </c>
    </row>
    <row r="1125" spans="1:15" s="92" customFormat="1" ht="12" customHeight="1" x14ac:dyDescent="0.25">
      <c r="A1125" s="316" t="s">
        <v>3996</v>
      </c>
      <c r="B1125" s="526" t="s">
        <v>1872</v>
      </c>
      <c r="C1125" s="521" t="s">
        <v>4225</v>
      </c>
      <c r="D1125" s="581">
        <v>44.53</v>
      </c>
      <c r="E1125" s="581">
        <v>22.05</v>
      </c>
      <c r="F1125" s="570"/>
      <c r="G1125" s="580"/>
      <c r="H1125" s="580"/>
      <c r="I1125" s="326" t="s">
        <v>1441</v>
      </c>
      <c r="J1125" s="315" t="s">
        <v>69</v>
      </c>
      <c r="K1125" s="194"/>
      <c r="L1125" s="90" t="s">
        <v>69</v>
      </c>
      <c r="M1125" s="280" t="s">
        <v>4073</v>
      </c>
      <c r="N1125" s="239"/>
      <c r="O1125" s="209" t="s">
        <v>4245</v>
      </c>
    </row>
    <row r="1126" spans="1:15" s="45" customFormat="1" x14ac:dyDescent="0.25">
      <c r="A1126" s="667" t="s">
        <v>4244</v>
      </c>
      <c r="B1126" s="666"/>
      <c r="C1126" s="668"/>
      <c r="D1126" s="684">
        <f>AVERAGE(D1083:D1090)</f>
        <v>44.552924000000004</v>
      </c>
      <c r="E1126" s="684">
        <f>AVERAGE(E1083:E1090)</f>
        <v>22.027563000000001</v>
      </c>
      <c r="F1126" s="685">
        <f>AVERAGE(F1083:F1090)</f>
        <v>6123.375</v>
      </c>
      <c r="G1126" s="12"/>
      <c r="H1126" s="293"/>
      <c r="I1126" s="359"/>
      <c r="J1126" s="281"/>
      <c r="K1126" s="370"/>
      <c r="L1126" s="29"/>
      <c r="M1126" s="232"/>
      <c r="N1126" s="354"/>
      <c r="O1126" s="61"/>
    </row>
    <row r="1127" spans="1:15" s="45" customFormat="1" x14ac:dyDescent="0.25">
      <c r="A1127" s="383" t="s">
        <v>4622</v>
      </c>
      <c r="B1127" s="380"/>
      <c r="C1127" s="403"/>
      <c r="D1127" s="369"/>
      <c r="E1127" s="369"/>
      <c r="F1127" s="382"/>
      <c r="G1127" s="29"/>
      <c r="H1127" s="113"/>
      <c r="I1127" s="281"/>
      <c r="J1127" s="281"/>
      <c r="K1127" s="370"/>
      <c r="L1127" s="29"/>
      <c r="M1127" s="232"/>
      <c r="N1127" s="354"/>
      <c r="O1127" s="61"/>
    </row>
    <row r="1128" spans="1:15" s="45" customFormat="1" x14ac:dyDescent="0.25">
      <c r="A1128" s="383" t="s">
        <v>4623</v>
      </c>
      <c r="B1128" s="380"/>
      <c r="C1128" s="403"/>
      <c r="D1128" s="369"/>
      <c r="E1128" s="369"/>
      <c r="F1128" s="382"/>
      <c r="G1128" s="29"/>
      <c r="H1128" s="113"/>
      <c r="I1128" s="281"/>
      <c r="J1128" s="281"/>
      <c r="K1128" s="370"/>
      <c r="L1128" s="29"/>
      <c r="M1128" s="232"/>
      <c r="N1128" s="354"/>
      <c r="O1128" s="61"/>
    </row>
    <row r="1129" spans="1:15" s="45" customFormat="1" x14ac:dyDescent="0.25">
      <c r="A1129" s="383" t="s">
        <v>4233</v>
      </c>
      <c r="B1129" s="380"/>
      <c r="C1129" s="403"/>
      <c r="D1129" s="369"/>
      <c r="E1129" s="369"/>
      <c r="F1129" s="382"/>
      <c r="G1129" s="29"/>
      <c r="H1129" s="113"/>
      <c r="I1129" s="281"/>
      <c r="J1129" s="281"/>
      <c r="K1129" s="370"/>
      <c r="L1129" s="29"/>
      <c r="M1129" s="232"/>
      <c r="N1129" s="354"/>
      <c r="O1129" s="61"/>
    </row>
    <row r="1130" spans="1:15" s="45" customFormat="1" x14ac:dyDescent="0.25">
      <c r="A1130" s="109" t="s">
        <v>4548</v>
      </c>
      <c r="B1130" s="380"/>
      <c r="C1130" s="403"/>
      <c r="D1130" s="369"/>
      <c r="E1130" s="369"/>
      <c r="F1130" s="382"/>
      <c r="G1130" s="29"/>
      <c r="H1130" s="113"/>
      <c r="I1130" s="281"/>
      <c r="J1130" s="281"/>
      <c r="K1130" s="370"/>
      <c r="L1130" s="29"/>
      <c r="M1130" s="232"/>
      <c r="N1130" s="354"/>
      <c r="O1130" s="61"/>
    </row>
    <row r="1131" spans="1:15" s="45" customFormat="1" x14ac:dyDescent="0.25">
      <c r="A1131" s="109"/>
      <c r="B1131" s="380"/>
      <c r="C1131" s="403"/>
      <c r="D1131" s="369"/>
      <c r="E1131" s="369"/>
      <c r="F1131" s="382"/>
      <c r="G1131" s="29"/>
      <c r="H1131" s="113"/>
      <c r="I1131" s="281"/>
      <c r="J1131" s="281"/>
      <c r="K1131" s="370"/>
      <c r="L1131" s="29"/>
      <c r="M1131" s="232"/>
      <c r="N1131" s="354"/>
      <c r="O1131" s="61"/>
    </row>
    <row r="1132" spans="1:15" s="45" customFormat="1" x14ac:dyDescent="0.25">
      <c r="A1132" s="665" t="s">
        <v>4358</v>
      </c>
      <c r="B1132" s="811"/>
      <c r="C1132" s="403"/>
      <c r="D1132" s="369"/>
      <c r="E1132" s="369"/>
      <c r="F1132" s="382"/>
      <c r="G1132" s="29"/>
      <c r="H1132" s="113"/>
      <c r="I1132" s="281"/>
      <c r="J1132" s="281"/>
      <c r="K1132" s="370"/>
      <c r="L1132" s="29"/>
      <c r="M1132" s="232"/>
      <c r="N1132" s="354"/>
      <c r="O1132" s="61"/>
    </row>
    <row r="1133" spans="1:15" s="100" customFormat="1" ht="32.450000000000003" customHeight="1" x14ac:dyDescent="0.25">
      <c r="A1133" s="507" t="s">
        <v>4291</v>
      </c>
      <c r="B1133" s="508" t="s">
        <v>1247</v>
      </c>
      <c r="C1133" s="519" t="s">
        <v>0</v>
      </c>
      <c r="D1133" s="510" t="s">
        <v>969</v>
      </c>
      <c r="E1133" s="510" t="s">
        <v>2323</v>
      </c>
      <c r="F1133" s="510" t="s">
        <v>398</v>
      </c>
      <c r="G1133" s="511" t="s">
        <v>399</v>
      </c>
      <c r="H1133" s="512" t="s">
        <v>400</v>
      </c>
      <c r="I1133" s="101" t="s">
        <v>2322</v>
      </c>
      <c r="J1133" s="589" t="s">
        <v>3927</v>
      </c>
      <c r="K1133" s="590" t="s">
        <v>3250</v>
      </c>
      <c r="L1133" s="591" t="s">
        <v>1</v>
      </c>
      <c r="M1133" s="590" t="s">
        <v>3486</v>
      </c>
      <c r="N1133" s="640" t="s">
        <v>3487</v>
      </c>
      <c r="O1133" s="339" t="s">
        <v>2324</v>
      </c>
    </row>
    <row r="1134" spans="1:15" ht="15.75" thickBot="1" x14ac:dyDescent="0.3">
      <c r="A1134" s="418" t="s">
        <v>407</v>
      </c>
      <c r="B1134" s="238" t="s">
        <v>529</v>
      </c>
      <c r="C1134" s="252" t="s">
        <v>542</v>
      </c>
      <c r="D1134" s="532">
        <v>54.074439099999999</v>
      </c>
      <c r="E1134" s="532">
        <v>-2.2872840999999999</v>
      </c>
      <c r="F1134" s="116">
        <f t="shared" ref="F1134:F1165" si="40">AVERAGE(G1134:H1134)</f>
        <v>3586</v>
      </c>
      <c r="G1134" s="197">
        <v>3650</v>
      </c>
      <c r="H1134" s="112">
        <v>3522</v>
      </c>
      <c r="I1134" s="76" t="s">
        <v>144</v>
      </c>
      <c r="J1134" s="218" t="s">
        <v>420</v>
      </c>
      <c r="K1134" s="108" t="s">
        <v>456</v>
      </c>
      <c r="L1134" s="17" t="s">
        <v>14</v>
      </c>
      <c r="M1134" s="108" t="s">
        <v>3147</v>
      </c>
      <c r="N1134" s="230" t="s">
        <v>4056</v>
      </c>
      <c r="O1134" s="205"/>
    </row>
    <row r="1135" spans="1:15" ht="15.75" thickBot="1" x14ac:dyDescent="0.3">
      <c r="A1135" s="418" t="s">
        <v>407</v>
      </c>
      <c r="B1135" s="238" t="s">
        <v>466</v>
      </c>
      <c r="C1135" s="252" t="s">
        <v>542</v>
      </c>
      <c r="D1135" s="532">
        <v>50.828980999999999</v>
      </c>
      <c r="E1135" s="532">
        <v>-0.11282499999999999</v>
      </c>
      <c r="F1135" s="116">
        <f t="shared" si="40"/>
        <v>3525</v>
      </c>
      <c r="G1135" s="197">
        <v>3650</v>
      </c>
      <c r="H1135" s="112">
        <v>3400</v>
      </c>
      <c r="I1135" s="178" t="s">
        <v>481</v>
      </c>
      <c r="J1135" s="218" t="s">
        <v>69</v>
      </c>
      <c r="K1135" s="108" t="s">
        <v>456</v>
      </c>
      <c r="L1135" s="17" t="s">
        <v>2</v>
      </c>
      <c r="M1135" s="108" t="s">
        <v>3149</v>
      </c>
      <c r="N1135" s="230" t="s">
        <v>534</v>
      </c>
      <c r="O1135" s="205" t="s">
        <v>972</v>
      </c>
    </row>
    <row r="1136" spans="1:15" ht="15.75" thickBot="1" x14ac:dyDescent="0.3">
      <c r="A1136" s="418" t="s">
        <v>407</v>
      </c>
      <c r="B1136" s="238" t="s">
        <v>502</v>
      </c>
      <c r="C1136" s="252" t="s">
        <v>542</v>
      </c>
      <c r="D1136" s="532">
        <v>50.860219000000001</v>
      </c>
      <c r="E1136" s="532">
        <v>-0.38328400000000001</v>
      </c>
      <c r="F1136" s="116">
        <f t="shared" si="40"/>
        <v>3513</v>
      </c>
      <c r="G1136" s="197">
        <v>3643</v>
      </c>
      <c r="H1136" s="112">
        <v>3383</v>
      </c>
      <c r="I1136" s="76" t="s">
        <v>503</v>
      </c>
      <c r="J1136" s="218" t="s">
        <v>69</v>
      </c>
      <c r="K1136" s="108" t="s">
        <v>456</v>
      </c>
      <c r="L1136" s="17" t="s">
        <v>2</v>
      </c>
      <c r="M1136" s="108" t="s">
        <v>3145</v>
      </c>
      <c r="N1136" s="230" t="s">
        <v>504</v>
      </c>
      <c r="O1136" s="205"/>
    </row>
    <row r="1137" spans="1:15" ht="15.75" thickBot="1" x14ac:dyDescent="0.3">
      <c r="A1137" s="418" t="s">
        <v>407</v>
      </c>
      <c r="B1137" s="238" t="s">
        <v>474</v>
      </c>
      <c r="C1137" s="252" t="s">
        <v>543</v>
      </c>
      <c r="D1137" s="532">
        <v>56.4</v>
      </c>
      <c r="E1137" s="532">
        <v>-5.4779999999999998</v>
      </c>
      <c r="F1137" s="116">
        <f t="shared" si="40"/>
        <v>3489.5</v>
      </c>
      <c r="G1137" s="27">
        <v>3942</v>
      </c>
      <c r="H1137" s="293">
        <v>3037</v>
      </c>
      <c r="I1137" s="174" t="s">
        <v>349</v>
      </c>
      <c r="J1137" s="40" t="s">
        <v>438</v>
      </c>
      <c r="K1137" s="108" t="s">
        <v>415</v>
      </c>
      <c r="L1137" s="17" t="s">
        <v>14</v>
      </c>
      <c r="M1137" s="108" t="s">
        <v>475</v>
      </c>
      <c r="N1137" s="230" t="s">
        <v>476</v>
      </c>
      <c r="O1137" s="205"/>
    </row>
    <row r="1138" spans="1:15" ht="15.75" thickBot="1" x14ac:dyDescent="0.3">
      <c r="A1138" s="418" t="s">
        <v>407</v>
      </c>
      <c r="B1138" s="238" t="s">
        <v>474</v>
      </c>
      <c r="C1138" s="252" t="s">
        <v>543</v>
      </c>
      <c r="D1138" s="532">
        <v>56.414566999999998</v>
      </c>
      <c r="E1138" s="532">
        <v>-5.4691780000000003</v>
      </c>
      <c r="F1138" s="116">
        <f t="shared" si="40"/>
        <v>3650</v>
      </c>
      <c r="G1138" s="27">
        <v>4000</v>
      </c>
      <c r="H1138" s="293">
        <v>3300</v>
      </c>
      <c r="I1138" s="174" t="s">
        <v>481</v>
      </c>
      <c r="J1138" s="40" t="s">
        <v>69</v>
      </c>
      <c r="K1138" s="108" t="s">
        <v>415</v>
      </c>
      <c r="L1138" s="17" t="s">
        <v>2</v>
      </c>
      <c r="M1138" s="108" t="s">
        <v>505</v>
      </c>
      <c r="N1138" s="230" t="s">
        <v>506</v>
      </c>
      <c r="O1138" s="205"/>
    </row>
    <row r="1139" spans="1:15" ht="15.75" thickBot="1" x14ac:dyDescent="0.3">
      <c r="A1139" s="418" t="s">
        <v>407</v>
      </c>
      <c r="B1139" s="238" t="s">
        <v>474</v>
      </c>
      <c r="C1139" s="252" t="s">
        <v>543</v>
      </c>
      <c r="D1139" s="532">
        <v>56.414566999999998</v>
      </c>
      <c r="E1139" s="532">
        <v>-5.4691780000000003</v>
      </c>
      <c r="F1139" s="116">
        <f t="shared" si="40"/>
        <v>3650</v>
      </c>
      <c r="G1139" s="27">
        <v>4000</v>
      </c>
      <c r="H1139" s="293">
        <v>3300</v>
      </c>
      <c r="I1139" s="97" t="s">
        <v>507</v>
      </c>
      <c r="J1139" s="40" t="s">
        <v>69</v>
      </c>
      <c r="K1139" s="108" t="s">
        <v>415</v>
      </c>
      <c r="L1139" s="17" t="s">
        <v>2</v>
      </c>
      <c r="M1139" s="108" t="s">
        <v>508</v>
      </c>
      <c r="N1139" s="230" t="s">
        <v>509</v>
      </c>
      <c r="O1139" s="205"/>
    </row>
    <row r="1140" spans="1:15" ht="15.75" thickBot="1" x14ac:dyDescent="0.3">
      <c r="A1140" s="418" t="s">
        <v>407</v>
      </c>
      <c r="B1140" s="238" t="s">
        <v>535</v>
      </c>
      <c r="C1140" s="252" t="s">
        <v>542</v>
      </c>
      <c r="D1140" s="532">
        <v>51.561050000000002</v>
      </c>
      <c r="E1140" s="532">
        <v>-1.4459229999999901</v>
      </c>
      <c r="F1140" s="116">
        <f t="shared" si="40"/>
        <v>3650</v>
      </c>
      <c r="G1140" s="27">
        <v>4000</v>
      </c>
      <c r="H1140" s="115">
        <v>3300</v>
      </c>
      <c r="I1140" s="180" t="s">
        <v>536</v>
      </c>
      <c r="J1140" s="625" t="s">
        <v>526</v>
      </c>
      <c r="K1140" s="108" t="s">
        <v>2935</v>
      </c>
      <c r="L1140" s="17" t="s">
        <v>14</v>
      </c>
      <c r="M1140" s="108" t="s">
        <v>537</v>
      </c>
      <c r="N1140" s="230" t="s">
        <v>538</v>
      </c>
      <c r="O1140" s="205"/>
    </row>
    <row r="1141" spans="1:15" ht="15.75" thickBot="1" x14ac:dyDescent="0.3">
      <c r="A1141" s="418" t="s">
        <v>407</v>
      </c>
      <c r="B1141" s="238" t="s">
        <v>515</v>
      </c>
      <c r="C1141" s="252" t="s">
        <v>542</v>
      </c>
      <c r="D1141" s="532">
        <v>51.052799999999998</v>
      </c>
      <c r="E1141" s="532">
        <v>-1.4338</v>
      </c>
      <c r="F1141" s="116">
        <f t="shared" si="40"/>
        <v>3707.5</v>
      </c>
      <c r="G1141" s="27">
        <v>3755</v>
      </c>
      <c r="H1141" s="115">
        <v>3660</v>
      </c>
      <c r="I1141" s="180" t="s">
        <v>481</v>
      </c>
      <c r="J1141" s="625" t="s">
        <v>516</v>
      </c>
      <c r="K1141" s="416" t="s">
        <v>2513</v>
      </c>
      <c r="L1141" s="17" t="s">
        <v>14</v>
      </c>
      <c r="M1141" s="108" t="s">
        <v>517</v>
      </c>
      <c r="N1141" s="230" t="s">
        <v>518</v>
      </c>
      <c r="O1141" s="205"/>
    </row>
    <row r="1142" spans="1:15" x14ac:dyDescent="0.25">
      <c r="A1142" s="418" t="s">
        <v>407</v>
      </c>
      <c r="B1142" s="238" t="s">
        <v>515</v>
      </c>
      <c r="C1142" s="252" t="s">
        <v>542</v>
      </c>
      <c r="D1142" s="532">
        <v>51.052799999999998</v>
      </c>
      <c r="E1142" s="532">
        <v>-1.4338</v>
      </c>
      <c r="F1142" s="116">
        <f t="shared" si="40"/>
        <v>3707.5</v>
      </c>
      <c r="G1142" s="27">
        <v>3755</v>
      </c>
      <c r="H1142" s="115">
        <v>3660</v>
      </c>
      <c r="I1142" s="104" t="s">
        <v>519</v>
      </c>
      <c r="J1142" s="625" t="s">
        <v>69</v>
      </c>
      <c r="K1142" s="416" t="s">
        <v>2513</v>
      </c>
      <c r="L1142" s="17" t="s">
        <v>2</v>
      </c>
      <c r="M1142" s="108" t="s">
        <v>520</v>
      </c>
      <c r="N1142" s="230" t="s">
        <v>521</v>
      </c>
      <c r="O1142" s="205"/>
    </row>
    <row r="1143" spans="1:15" x14ac:dyDescent="0.25">
      <c r="A1143" s="418" t="s">
        <v>407</v>
      </c>
      <c r="B1143" s="238" t="s">
        <v>477</v>
      </c>
      <c r="C1143" s="252" t="s">
        <v>542</v>
      </c>
      <c r="D1143" s="532">
        <v>53.079802999999998</v>
      </c>
      <c r="E1143" s="532">
        <v>-1.6409419999999999</v>
      </c>
      <c r="F1143" s="116">
        <f t="shared" si="40"/>
        <v>3607</v>
      </c>
      <c r="G1143" s="197">
        <v>3692</v>
      </c>
      <c r="H1143" s="112">
        <v>3522</v>
      </c>
      <c r="I1143" s="76" t="s">
        <v>85</v>
      </c>
      <c r="J1143" s="218" t="s">
        <v>478</v>
      </c>
      <c r="K1143" s="108" t="s">
        <v>456</v>
      </c>
      <c r="L1143" s="17" t="s">
        <v>14</v>
      </c>
      <c r="M1143" s="108" t="s">
        <v>479</v>
      </c>
      <c r="N1143" s="230" t="s">
        <v>480</v>
      </c>
      <c r="O1143" s="205"/>
    </row>
    <row r="1144" spans="1:15" x14ac:dyDescent="0.25">
      <c r="A1144" s="418" t="s">
        <v>407</v>
      </c>
      <c r="B1144" s="238" t="s">
        <v>499</v>
      </c>
      <c r="C1144" s="252" t="s">
        <v>544</v>
      </c>
      <c r="D1144" s="532">
        <v>51.451446999999902</v>
      </c>
      <c r="E1144" s="532">
        <v>-3.3078729999999998</v>
      </c>
      <c r="F1144" s="116">
        <f t="shared" si="40"/>
        <v>3700</v>
      </c>
      <c r="G1144" s="27">
        <v>3800</v>
      </c>
      <c r="H1144" s="115">
        <v>3600</v>
      </c>
      <c r="I1144" s="104" t="s">
        <v>82</v>
      </c>
      <c r="J1144" s="625" t="s">
        <v>438</v>
      </c>
      <c r="K1144" s="604" t="s">
        <v>2936</v>
      </c>
      <c r="L1144" s="17" t="s">
        <v>14</v>
      </c>
      <c r="M1144" s="108" t="s">
        <v>500</v>
      </c>
      <c r="N1144" s="230" t="s">
        <v>501</v>
      </c>
      <c r="O1144" s="205"/>
    </row>
    <row r="1145" spans="1:15" x14ac:dyDescent="0.25">
      <c r="A1145" s="418" t="s">
        <v>407</v>
      </c>
      <c r="B1145" s="238" t="s">
        <v>496</v>
      </c>
      <c r="C1145" s="252" t="s">
        <v>542</v>
      </c>
      <c r="D1145" s="532">
        <v>51.444969</v>
      </c>
      <c r="E1145" s="532">
        <v>-1.852606</v>
      </c>
      <c r="F1145" s="116">
        <f t="shared" si="40"/>
        <v>3502.5</v>
      </c>
      <c r="G1145" s="197">
        <v>3629</v>
      </c>
      <c r="H1145" s="112">
        <v>3376</v>
      </c>
      <c r="I1145" s="76" t="s">
        <v>7</v>
      </c>
      <c r="J1145" s="218" t="s">
        <v>80</v>
      </c>
      <c r="K1145" s="108" t="s">
        <v>2935</v>
      </c>
      <c r="L1145" s="17" t="s">
        <v>14</v>
      </c>
      <c r="M1145" s="108" t="s">
        <v>497</v>
      </c>
      <c r="N1145" s="230" t="s">
        <v>498</v>
      </c>
      <c r="O1145" s="205"/>
    </row>
    <row r="1146" spans="1:15" ht="15.75" thickBot="1" x14ac:dyDescent="0.3">
      <c r="A1146" s="418" t="s">
        <v>407</v>
      </c>
      <c r="B1146" s="238" t="s">
        <v>408</v>
      </c>
      <c r="C1146" s="252" t="s">
        <v>542</v>
      </c>
      <c r="D1146" s="532">
        <v>51.492750000000001</v>
      </c>
      <c r="E1146" s="532">
        <v>-0.66540200000000005</v>
      </c>
      <c r="F1146" s="116">
        <f t="shared" si="40"/>
        <v>3287.5</v>
      </c>
      <c r="G1146" s="197">
        <v>3631</v>
      </c>
      <c r="H1146" s="112">
        <v>2944</v>
      </c>
      <c r="I1146" s="76" t="s">
        <v>409</v>
      </c>
      <c r="J1146" s="218" t="s">
        <v>69</v>
      </c>
      <c r="K1146" s="108" t="s">
        <v>410</v>
      </c>
      <c r="L1146" s="17" t="s">
        <v>2</v>
      </c>
      <c r="M1146" s="108" t="s">
        <v>411</v>
      </c>
      <c r="N1146" s="230" t="s">
        <v>412</v>
      </c>
      <c r="O1146" s="205"/>
    </row>
    <row r="1147" spans="1:15" ht="15.75" thickBot="1" x14ac:dyDescent="0.3">
      <c r="A1147" s="418" t="s">
        <v>407</v>
      </c>
      <c r="B1147" s="238" t="s">
        <v>984</v>
      </c>
      <c r="C1147" s="252" t="s">
        <v>542</v>
      </c>
      <c r="D1147" s="532">
        <v>52.217252780000003</v>
      </c>
      <c r="E1147" s="532">
        <v>-0.94021666699999995</v>
      </c>
      <c r="F1147" s="116">
        <f t="shared" si="40"/>
        <v>3230</v>
      </c>
      <c r="G1147" s="17">
        <v>3360</v>
      </c>
      <c r="H1147" s="582">
        <v>3100</v>
      </c>
      <c r="I1147" s="179" t="s">
        <v>985</v>
      </c>
      <c r="J1147" s="626" t="s">
        <v>516</v>
      </c>
      <c r="K1147" s="627" t="s">
        <v>986</v>
      </c>
      <c r="L1147" s="582" t="s">
        <v>14</v>
      </c>
      <c r="M1147" s="108" t="s">
        <v>987</v>
      </c>
      <c r="N1147" s="230" t="s">
        <v>988</v>
      </c>
      <c r="O1147" s="205"/>
    </row>
    <row r="1148" spans="1:15" x14ac:dyDescent="0.25">
      <c r="A1148" s="418" t="s">
        <v>407</v>
      </c>
      <c r="B1148" s="238" t="s">
        <v>984</v>
      </c>
      <c r="C1148" s="252" t="s">
        <v>542</v>
      </c>
      <c r="D1148" s="532">
        <v>52.217252780000003</v>
      </c>
      <c r="E1148" s="532">
        <v>-0.94021666699999995</v>
      </c>
      <c r="F1148" s="116">
        <f t="shared" si="40"/>
        <v>3230</v>
      </c>
      <c r="G1148" s="17">
        <v>3360</v>
      </c>
      <c r="H1148" s="582">
        <v>3100</v>
      </c>
      <c r="I1148" s="103" t="s">
        <v>503</v>
      </c>
      <c r="J1148" s="626" t="s">
        <v>80</v>
      </c>
      <c r="K1148" s="627" t="s">
        <v>986</v>
      </c>
      <c r="L1148" s="582" t="s">
        <v>14</v>
      </c>
      <c r="M1148" s="108" t="s">
        <v>989</v>
      </c>
      <c r="N1148" s="230" t="s">
        <v>990</v>
      </c>
      <c r="O1148" s="205"/>
    </row>
    <row r="1149" spans="1:15" ht="15.75" thickBot="1" x14ac:dyDescent="0.3">
      <c r="A1149" s="418" t="s">
        <v>407</v>
      </c>
      <c r="B1149" s="238" t="s">
        <v>984</v>
      </c>
      <c r="C1149" s="252" t="s">
        <v>542</v>
      </c>
      <c r="D1149" s="532">
        <v>52.217252780000003</v>
      </c>
      <c r="E1149" s="532">
        <v>-0.94021666699999995</v>
      </c>
      <c r="F1149" s="116">
        <f t="shared" si="40"/>
        <v>3230</v>
      </c>
      <c r="G1149" s="17">
        <v>3360</v>
      </c>
      <c r="H1149" s="582">
        <v>3100</v>
      </c>
      <c r="I1149" s="103" t="s">
        <v>991</v>
      </c>
      <c r="J1149" s="626" t="s">
        <v>80</v>
      </c>
      <c r="K1149" s="627" t="s">
        <v>986</v>
      </c>
      <c r="L1149" s="582" t="s">
        <v>14</v>
      </c>
      <c r="M1149" s="108" t="s">
        <v>992</v>
      </c>
      <c r="N1149" s="230" t="s">
        <v>993</v>
      </c>
      <c r="O1149" s="205"/>
    </row>
    <row r="1150" spans="1:15" ht="15.75" thickBot="1" x14ac:dyDescent="0.3">
      <c r="A1150" s="418" t="s">
        <v>407</v>
      </c>
      <c r="B1150" s="238" t="s">
        <v>994</v>
      </c>
      <c r="C1150" s="252" t="s">
        <v>542</v>
      </c>
      <c r="D1150" s="532">
        <v>51.492750000000001</v>
      </c>
      <c r="E1150" s="532">
        <v>-0.66540200000000005</v>
      </c>
      <c r="F1150" s="116">
        <f t="shared" si="40"/>
        <v>3115</v>
      </c>
      <c r="G1150" s="17">
        <v>3330</v>
      </c>
      <c r="H1150" s="582">
        <v>2900</v>
      </c>
      <c r="I1150" s="179" t="s">
        <v>481</v>
      </c>
      <c r="J1150" s="626" t="s">
        <v>445</v>
      </c>
      <c r="K1150" s="627" t="s">
        <v>986</v>
      </c>
      <c r="L1150" s="582" t="s">
        <v>14</v>
      </c>
      <c r="M1150" s="108" t="s">
        <v>995</v>
      </c>
      <c r="N1150" s="230" t="s">
        <v>996</v>
      </c>
      <c r="O1150" s="205"/>
    </row>
    <row r="1151" spans="1:15" x14ac:dyDescent="0.25">
      <c r="A1151" s="418" t="s">
        <v>407</v>
      </c>
      <c r="B1151" s="238" t="s">
        <v>997</v>
      </c>
      <c r="C1151" s="252" t="s">
        <v>542</v>
      </c>
      <c r="D1151" s="532">
        <v>51.279000000000003</v>
      </c>
      <c r="E1151" s="532">
        <v>-2.7433239999999999</v>
      </c>
      <c r="F1151" s="116">
        <f t="shared" si="40"/>
        <v>2645</v>
      </c>
      <c r="G1151" s="17">
        <v>2830</v>
      </c>
      <c r="H1151" s="582">
        <v>2460</v>
      </c>
      <c r="I1151" s="103" t="s">
        <v>442</v>
      </c>
      <c r="J1151" s="626" t="s">
        <v>863</v>
      </c>
      <c r="K1151" s="627" t="s">
        <v>986</v>
      </c>
      <c r="L1151" s="582" t="s">
        <v>14</v>
      </c>
      <c r="M1151" s="108" t="s">
        <v>998</v>
      </c>
      <c r="N1151" s="230" t="s">
        <v>999</v>
      </c>
      <c r="O1151" s="205"/>
    </row>
    <row r="1152" spans="1:15" x14ac:dyDescent="0.25">
      <c r="A1152" s="418" t="s">
        <v>407</v>
      </c>
      <c r="B1152" s="238" t="s">
        <v>436</v>
      </c>
      <c r="C1152" s="252" t="s">
        <v>543</v>
      </c>
      <c r="D1152" s="532">
        <v>56.42</v>
      </c>
      <c r="E1152" s="532">
        <v>-5.4720000000000004</v>
      </c>
      <c r="F1152" s="116">
        <f t="shared" si="40"/>
        <v>3865.5</v>
      </c>
      <c r="G1152" s="27">
        <v>3951</v>
      </c>
      <c r="H1152" s="115">
        <v>3780</v>
      </c>
      <c r="I1152" s="76" t="s">
        <v>437</v>
      </c>
      <c r="J1152" s="218" t="s">
        <v>438</v>
      </c>
      <c r="K1152" s="108" t="s">
        <v>2937</v>
      </c>
      <c r="L1152" s="17" t="s">
        <v>14</v>
      </c>
      <c r="M1152" s="108" t="s">
        <v>439</v>
      </c>
      <c r="N1152" s="230" t="s">
        <v>440</v>
      </c>
      <c r="O1152" s="205"/>
    </row>
    <row r="1153" spans="1:15" x14ac:dyDescent="0.25">
      <c r="A1153" s="418" t="s">
        <v>407</v>
      </c>
      <c r="B1153" s="238" t="s">
        <v>441</v>
      </c>
      <c r="C1153" s="252" t="s">
        <v>543</v>
      </c>
      <c r="D1153" s="532">
        <v>56.41</v>
      </c>
      <c r="E1153" s="532">
        <v>-5.4710000000000001</v>
      </c>
      <c r="F1153" s="116">
        <f t="shared" si="40"/>
        <v>3702</v>
      </c>
      <c r="G1153" s="27">
        <v>3761</v>
      </c>
      <c r="H1153" s="115">
        <v>3643</v>
      </c>
      <c r="I1153" s="76" t="s">
        <v>442</v>
      </c>
      <c r="J1153" s="40" t="s">
        <v>69</v>
      </c>
      <c r="K1153" s="108" t="s">
        <v>415</v>
      </c>
      <c r="L1153" s="17" t="s">
        <v>2</v>
      </c>
      <c r="M1153" s="108" t="s">
        <v>443</v>
      </c>
      <c r="N1153" s="230" t="s">
        <v>444</v>
      </c>
      <c r="O1153" s="205"/>
    </row>
    <row r="1154" spans="1:15" x14ac:dyDescent="0.25">
      <c r="A1154" s="418" t="s">
        <v>407</v>
      </c>
      <c r="B1154" s="238" t="s">
        <v>441</v>
      </c>
      <c r="C1154" s="252" t="s">
        <v>543</v>
      </c>
      <c r="D1154" s="532">
        <v>56.41</v>
      </c>
      <c r="E1154" s="532">
        <v>-5.4710000000000001</v>
      </c>
      <c r="F1154" s="116">
        <f t="shared" si="40"/>
        <v>3669.5</v>
      </c>
      <c r="G1154" s="27">
        <v>3700</v>
      </c>
      <c r="H1154" s="115">
        <v>3639</v>
      </c>
      <c r="I1154" s="76" t="s">
        <v>144</v>
      </c>
      <c r="J1154" s="40" t="s">
        <v>445</v>
      </c>
      <c r="K1154" s="108" t="s">
        <v>415</v>
      </c>
      <c r="L1154" s="17" t="s">
        <v>14</v>
      </c>
      <c r="M1154" s="108" t="s">
        <v>446</v>
      </c>
      <c r="N1154" s="230" t="s">
        <v>447</v>
      </c>
      <c r="O1154" s="205"/>
    </row>
    <row r="1155" spans="1:15" x14ac:dyDescent="0.25">
      <c r="A1155" s="418" t="s">
        <v>407</v>
      </c>
      <c r="B1155" s="238" t="s">
        <v>474</v>
      </c>
      <c r="C1155" s="252" t="s">
        <v>543</v>
      </c>
      <c r="D1155" s="532">
        <v>56.4033333</v>
      </c>
      <c r="E1155" s="532">
        <v>-5.4780559999999996</v>
      </c>
      <c r="F1155" s="116">
        <f t="shared" si="40"/>
        <v>3511.5</v>
      </c>
      <c r="G1155" s="27">
        <v>3640</v>
      </c>
      <c r="H1155" s="115">
        <v>3383</v>
      </c>
      <c r="I1155" s="97" t="s">
        <v>487</v>
      </c>
      <c r="J1155" s="40" t="s">
        <v>438</v>
      </c>
      <c r="K1155" s="108" t="s">
        <v>415</v>
      </c>
      <c r="L1155" s="17" t="s">
        <v>14</v>
      </c>
      <c r="M1155" s="108" t="s">
        <v>488</v>
      </c>
      <c r="N1155" s="230" t="s">
        <v>489</v>
      </c>
      <c r="O1155" s="205"/>
    </row>
    <row r="1156" spans="1:15" ht="15.75" thickBot="1" x14ac:dyDescent="0.3">
      <c r="A1156" s="418" t="s">
        <v>407</v>
      </c>
      <c r="B1156" s="238" t="s">
        <v>474</v>
      </c>
      <c r="C1156" s="252" t="s">
        <v>543</v>
      </c>
      <c r="D1156" s="532">
        <v>56.4033333</v>
      </c>
      <c r="E1156" s="532">
        <v>-5.4780559999999996</v>
      </c>
      <c r="F1156" s="116">
        <f t="shared" si="40"/>
        <v>3505</v>
      </c>
      <c r="G1156" s="27">
        <v>3633</v>
      </c>
      <c r="H1156" s="115">
        <v>3377</v>
      </c>
      <c r="I1156" s="97" t="s">
        <v>484</v>
      </c>
      <c r="J1156" s="40" t="s">
        <v>478</v>
      </c>
      <c r="K1156" s="108" t="s">
        <v>415</v>
      </c>
      <c r="L1156" s="17" t="s">
        <v>14</v>
      </c>
      <c r="M1156" s="108" t="s">
        <v>485</v>
      </c>
      <c r="N1156" s="230" t="s">
        <v>486</v>
      </c>
      <c r="O1156" s="205"/>
    </row>
    <row r="1157" spans="1:15" ht="15.75" thickBot="1" x14ac:dyDescent="0.3">
      <c r="A1157" s="418" t="s">
        <v>407</v>
      </c>
      <c r="B1157" s="238" t="s">
        <v>474</v>
      </c>
      <c r="C1157" s="252" t="s">
        <v>543</v>
      </c>
      <c r="D1157" s="532">
        <v>56.4033333</v>
      </c>
      <c r="E1157" s="532">
        <v>-5.4780559999999996</v>
      </c>
      <c r="F1157" s="116">
        <f t="shared" si="40"/>
        <v>3504</v>
      </c>
      <c r="G1157" s="27">
        <v>3631</v>
      </c>
      <c r="H1157" s="115">
        <v>3377</v>
      </c>
      <c r="I1157" s="174" t="s">
        <v>481</v>
      </c>
      <c r="J1157" s="40" t="s">
        <v>180</v>
      </c>
      <c r="K1157" s="108" t="s">
        <v>415</v>
      </c>
      <c r="L1157" s="17" t="s">
        <v>14</v>
      </c>
      <c r="M1157" s="108" t="s">
        <v>482</v>
      </c>
      <c r="N1157" s="230" t="s">
        <v>483</v>
      </c>
      <c r="O1157" s="205"/>
    </row>
    <row r="1158" spans="1:15" x14ac:dyDescent="0.25">
      <c r="A1158" s="418" t="s">
        <v>407</v>
      </c>
      <c r="B1158" s="238" t="s">
        <v>474</v>
      </c>
      <c r="C1158" s="252" t="s">
        <v>543</v>
      </c>
      <c r="D1158" s="532">
        <v>56.4033333</v>
      </c>
      <c r="E1158" s="532">
        <v>-5.4780559999999996</v>
      </c>
      <c r="F1158" s="116">
        <f t="shared" si="40"/>
        <v>3500</v>
      </c>
      <c r="G1158" s="27">
        <v>3800</v>
      </c>
      <c r="H1158" s="115">
        <v>3200</v>
      </c>
      <c r="I1158" s="97" t="s">
        <v>493</v>
      </c>
      <c r="J1158" s="40" t="s">
        <v>80</v>
      </c>
      <c r="K1158" s="108" t="s">
        <v>415</v>
      </c>
      <c r="L1158" s="17" t="s">
        <v>14</v>
      </c>
      <c r="M1158" s="108" t="s">
        <v>494</v>
      </c>
      <c r="N1158" s="230" t="s">
        <v>495</v>
      </c>
      <c r="O1158" s="205"/>
    </row>
    <row r="1159" spans="1:15" x14ac:dyDescent="0.25">
      <c r="A1159" s="418" t="s">
        <v>407</v>
      </c>
      <c r="B1159" s="238" t="s">
        <v>474</v>
      </c>
      <c r="C1159" s="252" t="s">
        <v>543</v>
      </c>
      <c r="D1159" s="532">
        <v>56.4033333</v>
      </c>
      <c r="E1159" s="532">
        <v>-5.4780559999999996</v>
      </c>
      <c r="F1159" s="116">
        <f t="shared" si="40"/>
        <v>3442.5</v>
      </c>
      <c r="G1159" s="27">
        <v>3520</v>
      </c>
      <c r="H1159" s="115">
        <v>3365</v>
      </c>
      <c r="I1159" s="97" t="s">
        <v>490</v>
      </c>
      <c r="J1159" s="40" t="s">
        <v>69</v>
      </c>
      <c r="K1159" s="108" t="s">
        <v>415</v>
      </c>
      <c r="L1159" s="17" t="s">
        <v>2</v>
      </c>
      <c r="M1159" s="108" t="s">
        <v>491</v>
      </c>
      <c r="N1159" s="230" t="s">
        <v>492</v>
      </c>
      <c r="O1159" s="205"/>
    </row>
    <row r="1160" spans="1:15" ht="15.75" thickBot="1" x14ac:dyDescent="0.3">
      <c r="A1160" s="418" t="s">
        <v>407</v>
      </c>
      <c r="B1160" s="238" t="s">
        <v>1000</v>
      </c>
      <c r="C1160" s="252" t="s">
        <v>543</v>
      </c>
      <c r="D1160" s="532">
        <v>56.41</v>
      </c>
      <c r="E1160" s="532">
        <v>-5.4710000000000001</v>
      </c>
      <c r="F1160" s="116">
        <f t="shared" si="40"/>
        <v>3432.5</v>
      </c>
      <c r="G1160" s="17">
        <v>3513</v>
      </c>
      <c r="H1160" s="582">
        <v>3352</v>
      </c>
      <c r="I1160" s="97" t="s">
        <v>1001</v>
      </c>
      <c r="J1160" s="626" t="s">
        <v>478</v>
      </c>
      <c r="K1160" s="108" t="s">
        <v>1002</v>
      </c>
      <c r="L1160" s="582" t="s">
        <v>14</v>
      </c>
      <c r="M1160" s="108" t="s">
        <v>1003</v>
      </c>
      <c r="N1160" s="230" t="s">
        <v>1004</v>
      </c>
      <c r="O1160" s="205"/>
    </row>
    <row r="1161" spans="1:15" ht="15.75" thickBot="1" x14ac:dyDescent="0.3">
      <c r="A1161" s="418" t="s">
        <v>407</v>
      </c>
      <c r="B1161" s="238" t="s">
        <v>1009</v>
      </c>
      <c r="C1161" s="252" t="s">
        <v>543</v>
      </c>
      <c r="D1161" s="532">
        <v>56.4033333</v>
      </c>
      <c r="E1161" s="532">
        <v>-5.4780559999999996</v>
      </c>
      <c r="F1161" s="116">
        <f t="shared" si="40"/>
        <v>3093</v>
      </c>
      <c r="G1161" s="27">
        <v>3263</v>
      </c>
      <c r="H1161" s="115">
        <v>2923</v>
      </c>
      <c r="I1161" s="180" t="s">
        <v>669</v>
      </c>
      <c r="J1161" s="625" t="s">
        <v>69</v>
      </c>
      <c r="K1161" s="108" t="s">
        <v>1002</v>
      </c>
      <c r="L1161" s="582" t="s">
        <v>2</v>
      </c>
      <c r="M1161" s="108" t="s">
        <v>1010</v>
      </c>
      <c r="N1161" s="230" t="s">
        <v>1011</v>
      </c>
      <c r="O1161" s="205"/>
    </row>
    <row r="1162" spans="1:15" ht="15.75" thickBot="1" x14ac:dyDescent="0.3">
      <c r="A1162" s="418" t="s">
        <v>407</v>
      </c>
      <c r="B1162" s="238" t="s">
        <v>1012</v>
      </c>
      <c r="C1162" s="252" t="s">
        <v>544</v>
      </c>
      <c r="D1162" s="532">
        <v>53.058706000000001</v>
      </c>
      <c r="E1162" s="532">
        <v>-3.2450860000000001</v>
      </c>
      <c r="F1162" s="116">
        <f t="shared" si="40"/>
        <v>2992</v>
      </c>
      <c r="G1162" s="27">
        <v>3080</v>
      </c>
      <c r="H1162" s="115">
        <v>2904</v>
      </c>
      <c r="I1162" s="180" t="s">
        <v>787</v>
      </c>
      <c r="J1162" s="625" t="s">
        <v>69</v>
      </c>
      <c r="K1162" s="108" t="s">
        <v>1013</v>
      </c>
      <c r="L1162" s="582" t="s">
        <v>2</v>
      </c>
      <c r="M1162" s="108" t="s">
        <v>1014</v>
      </c>
      <c r="N1162" s="230" t="s">
        <v>1015</v>
      </c>
      <c r="O1162" s="205"/>
    </row>
    <row r="1163" spans="1:15" x14ac:dyDescent="0.25">
      <c r="A1163" s="418" t="s">
        <v>407</v>
      </c>
      <c r="B1163" s="238" t="s">
        <v>413</v>
      </c>
      <c r="C1163" s="252" t="s">
        <v>543</v>
      </c>
      <c r="D1163" s="532">
        <v>58.53</v>
      </c>
      <c r="E1163" s="532">
        <v>-3.6030000000000002</v>
      </c>
      <c r="F1163" s="116">
        <f t="shared" si="40"/>
        <v>3703</v>
      </c>
      <c r="G1163" s="27">
        <v>3765</v>
      </c>
      <c r="H1163" s="115">
        <v>3641</v>
      </c>
      <c r="I1163" s="104" t="s">
        <v>414</v>
      </c>
      <c r="J1163" s="625" t="s">
        <v>69</v>
      </c>
      <c r="K1163" s="108" t="s">
        <v>2937</v>
      </c>
      <c r="L1163" s="17" t="s">
        <v>2</v>
      </c>
      <c r="M1163" s="108" t="s">
        <v>416</v>
      </c>
      <c r="N1163" s="230" t="s">
        <v>417</v>
      </c>
      <c r="O1163" s="205"/>
    </row>
    <row r="1164" spans="1:15" x14ac:dyDescent="0.25">
      <c r="A1164" s="418" t="s">
        <v>407</v>
      </c>
      <c r="B1164" s="238" t="s">
        <v>448</v>
      </c>
      <c r="C1164" s="252" t="s">
        <v>543</v>
      </c>
      <c r="D1164" s="532">
        <v>59.310099999999998</v>
      </c>
      <c r="E1164" s="532">
        <v>-2.940715</v>
      </c>
      <c r="F1164" s="116">
        <f t="shared" si="40"/>
        <v>3620</v>
      </c>
      <c r="G1164" s="27">
        <v>3705</v>
      </c>
      <c r="H1164" s="115">
        <v>3535</v>
      </c>
      <c r="I1164" s="104" t="s">
        <v>3</v>
      </c>
      <c r="J1164" s="625" t="s">
        <v>420</v>
      </c>
      <c r="K1164" s="108" t="s">
        <v>415</v>
      </c>
      <c r="L1164" s="17" t="s">
        <v>14</v>
      </c>
      <c r="M1164" s="108" t="s">
        <v>449</v>
      </c>
      <c r="N1164" s="230" t="s">
        <v>450</v>
      </c>
      <c r="O1164" s="205"/>
    </row>
    <row r="1165" spans="1:15" x14ac:dyDescent="0.25">
      <c r="A1165" s="418" t="s">
        <v>407</v>
      </c>
      <c r="B1165" s="238" t="s">
        <v>418</v>
      </c>
      <c r="C1165" s="252" t="s">
        <v>543</v>
      </c>
      <c r="D1165" s="532">
        <v>58.54</v>
      </c>
      <c r="E1165" s="532">
        <v>-3.5979999999999999</v>
      </c>
      <c r="F1165" s="116">
        <f t="shared" si="40"/>
        <v>3618.5</v>
      </c>
      <c r="G1165" s="27">
        <v>3703</v>
      </c>
      <c r="H1165" s="115">
        <v>3534</v>
      </c>
      <c r="I1165" s="104" t="s">
        <v>419</v>
      </c>
      <c r="J1165" s="625" t="s">
        <v>420</v>
      </c>
      <c r="K1165" s="108" t="s">
        <v>415</v>
      </c>
      <c r="L1165" s="17" t="s">
        <v>14</v>
      </c>
      <c r="M1165" s="108" t="s">
        <v>421</v>
      </c>
      <c r="N1165" s="230" t="s">
        <v>422</v>
      </c>
      <c r="O1165" s="205"/>
    </row>
    <row r="1166" spans="1:15" x14ac:dyDescent="0.25">
      <c r="A1166" s="418" t="s">
        <v>407</v>
      </c>
      <c r="B1166" s="238" t="s">
        <v>423</v>
      </c>
      <c r="C1166" s="252" t="s">
        <v>543</v>
      </c>
      <c r="D1166" s="532">
        <v>58.53</v>
      </c>
      <c r="E1166" s="532">
        <v>-3.6030000000000002</v>
      </c>
      <c r="F1166" s="116">
        <f t="shared" ref="F1166:F1197" si="41">AVERAGE(G1166:H1166)</f>
        <v>3520.5</v>
      </c>
      <c r="G1166" s="27">
        <v>3652</v>
      </c>
      <c r="H1166" s="115">
        <v>3389</v>
      </c>
      <c r="I1166" s="104" t="s">
        <v>424</v>
      </c>
      <c r="J1166" s="625" t="s">
        <v>180</v>
      </c>
      <c r="K1166" s="108" t="s">
        <v>415</v>
      </c>
      <c r="L1166" s="17" t="s">
        <v>14</v>
      </c>
      <c r="M1166" s="108" t="s">
        <v>425</v>
      </c>
      <c r="N1166" s="230" t="s">
        <v>426</v>
      </c>
      <c r="O1166" s="205"/>
    </row>
    <row r="1167" spans="1:15" ht="15.75" thickBot="1" x14ac:dyDescent="0.3">
      <c r="A1167" s="418" t="s">
        <v>407</v>
      </c>
      <c r="B1167" s="238" t="s">
        <v>427</v>
      </c>
      <c r="C1167" s="252" t="s">
        <v>543</v>
      </c>
      <c r="D1167" s="532">
        <v>59.35</v>
      </c>
      <c r="E1167" s="532">
        <v>-2.8730000000000002</v>
      </c>
      <c r="F1167" s="116">
        <f t="shared" si="41"/>
        <v>3509</v>
      </c>
      <c r="G1167" s="27">
        <v>3638</v>
      </c>
      <c r="H1167" s="115">
        <v>3380</v>
      </c>
      <c r="I1167" s="104" t="s">
        <v>85</v>
      </c>
      <c r="J1167" s="625" t="s">
        <v>433</v>
      </c>
      <c r="K1167" s="108" t="s">
        <v>415</v>
      </c>
      <c r="L1167" s="17" t="s">
        <v>14</v>
      </c>
      <c r="M1167" s="108" t="s">
        <v>434</v>
      </c>
      <c r="N1167" s="230" t="s">
        <v>435</v>
      </c>
      <c r="O1167" s="205"/>
    </row>
    <row r="1168" spans="1:15" ht="15.75" thickBot="1" x14ac:dyDescent="0.3">
      <c r="A1168" s="418" t="s">
        <v>407</v>
      </c>
      <c r="B1168" s="238" t="s">
        <v>427</v>
      </c>
      <c r="C1168" s="252" t="s">
        <v>543</v>
      </c>
      <c r="D1168" s="532">
        <v>59.35</v>
      </c>
      <c r="E1168" s="532">
        <v>-2.8730000000000002</v>
      </c>
      <c r="F1168" s="116">
        <f t="shared" si="41"/>
        <v>3499.5</v>
      </c>
      <c r="G1168" s="27">
        <v>3629</v>
      </c>
      <c r="H1168" s="115">
        <v>3370</v>
      </c>
      <c r="I1168" s="180" t="s">
        <v>430</v>
      </c>
      <c r="J1168" s="625" t="s">
        <v>420</v>
      </c>
      <c r="K1168" s="108" t="s">
        <v>415</v>
      </c>
      <c r="L1168" s="17" t="s">
        <v>14</v>
      </c>
      <c r="M1168" s="108" t="s">
        <v>431</v>
      </c>
      <c r="N1168" s="230" t="s">
        <v>432</v>
      </c>
      <c r="O1168" s="205"/>
    </row>
    <row r="1169" spans="1:15" x14ac:dyDescent="0.25">
      <c r="A1169" s="418" t="s">
        <v>407</v>
      </c>
      <c r="B1169" s="238" t="s">
        <v>427</v>
      </c>
      <c r="C1169" s="252" t="s">
        <v>543</v>
      </c>
      <c r="D1169" s="532">
        <v>59.35</v>
      </c>
      <c r="E1169" s="532">
        <v>-2.8730000000000002</v>
      </c>
      <c r="F1169" s="116">
        <f t="shared" si="41"/>
        <v>3440</v>
      </c>
      <c r="G1169" s="27">
        <v>3519</v>
      </c>
      <c r="H1169" s="115">
        <v>3361</v>
      </c>
      <c r="I1169" s="104" t="s">
        <v>10</v>
      </c>
      <c r="J1169" s="625" t="s">
        <v>69</v>
      </c>
      <c r="K1169" s="108" t="s">
        <v>415</v>
      </c>
      <c r="L1169" s="17" t="s">
        <v>2</v>
      </c>
      <c r="M1169" s="108" t="s">
        <v>428</v>
      </c>
      <c r="N1169" s="230" t="s">
        <v>429</v>
      </c>
      <c r="O1169" s="205"/>
    </row>
    <row r="1170" spans="1:15" x14ac:dyDescent="0.25">
      <c r="A1170" s="418" t="s">
        <v>407</v>
      </c>
      <c r="B1170" s="238" t="s">
        <v>451</v>
      </c>
      <c r="C1170" s="252" t="s">
        <v>543</v>
      </c>
      <c r="D1170" s="532">
        <v>55.4</v>
      </c>
      <c r="E1170" s="532">
        <v>-5.2</v>
      </c>
      <c r="F1170" s="116">
        <f t="shared" si="41"/>
        <v>3438.5</v>
      </c>
      <c r="G1170" s="27">
        <v>3516</v>
      </c>
      <c r="H1170" s="115">
        <v>3361</v>
      </c>
      <c r="I1170" s="104" t="s">
        <v>452</v>
      </c>
      <c r="J1170" s="625" t="s">
        <v>69</v>
      </c>
      <c r="K1170" s="604" t="s">
        <v>415</v>
      </c>
      <c r="L1170" s="17" t="s">
        <v>2</v>
      </c>
      <c r="M1170" s="108" t="s">
        <v>453</v>
      </c>
      <c r="N1170" s="230" t="s">
        <v>454</v>
      </c>
      <c r="O1170" s="205"/>
    </row>
    <row r="1171" spans="1:15" x14ac:dyDescent="0.25">
      <c r="A1171" s="418" t="s">
        <v>407</v>
      </c>
      <c r="B1171" s="238" t="s">
        <v>1031</v>
      </c>
      <c r="C1171" s="252" t="s">
        <v>543</v>
      </c>
      <c r="D1171" s="532">
        <v>58.986516000000002</v>
      </c>
      <c r="E1171" s="532">
        <v>-3.2490000000000001</v>
      </c>
      <c r="F1171" s="116">
        <f t="shared" si="41"/>
        <v>3234.5</v>
      </c>
      <c r="G1171" s="27">
        <v>3366</v>
      </c>
      <c r="H1171" s="115">
        <v>3103</v>
      </c>
      <c r="I1171" s="104" t="s">
        <v>1032</v>
      </c>
      <c r="J1171" s="625" t="s">
        <v>180</v>
      </c>
      <c r="K1171" s="604" t="s">
        <v>1002</v>
      </c>
      <c r="L1171" s="582" t="s">
        <v>14</v>
      </c>
      <c r="M1171" s="108" t="s">
        <v>1033</v>
      </c>
      <c r="N1171" s="230" t="s">
        <v>1034</v>
      </c>
      <c r="O1171" s="205"/>
    </row>
    <row r="1172" spans="1:15" ht="15.75" thickBot="1" x14ac:dyDescent="0.3">
      <c r="A1172" s="418" t="s">
        <v>407</v>
      </c>
      <c r="B1172" s="238" t="s">
        <v>1035</v>
      </c>
      <c r="C1172" s="252" t="s">
        <v>543</v>
      </c>
      <c r="D1172" s="532">
        <v>59.310099999999998</v>
      </c>
      <c r="E1172" s="532">
        <v>-2.940715</v>
      </c>
      <c r="F1172" s="116">
        <f t="shared" si="41"/>
        <v>3230.5</v>
      </c>
      <c r="G1172" s="27">
        <v>3360</v>
      </c>
      <c r="H1172" s="115">
        <v>3101</v>
      </c>
      <c r="I1172" s="104" t="s">
        <v>559</v>
      </c>
      <c r="J1172" s="625" t="s">
        <v>69</v>
      </c>
      <c r="K1172" s="604" t="s">
        <v>1002</v>
      </c>
      <c r="L1172" s="582" t="s">
        <v>2</v>
      </c>
      <c r="M1172" s="108" t="s">
        <v>1036</v>
      </c>
      <c r="N1172" s="230" t="s">
        <v>1037</v>
      </c>
      <c r="O1172" s="205"/>
    </row>
    <row r="1173" spans="1:15" ht="15.75" thickBot="1" x14ac:dyDescent="0.3">
      <c r="A1173" s="418" t="s">
        <v>407</v>
      </c>
      <c r="B1173" s="238" t="s">
        <v>1044</v>
      </c>
      <c r="C1173" s="252" t="s">
        <v>543</v>
      </c>
      <c r="D1173" s="532">
        <v>59.35</v>
      </c>
      <c r="E1173" s="532">
        <v>-2.8730000000000002</v>
      </c>
      <c r="F1173" s="116">
        <f t="shared" si="41"/>
        <v>3229</v>
      </c>
      <c r="G1173" s="27">
        <v>3360</v>
      </c>
      <c r="H1173" s="115">
        <v>3098</v>
      </c>
      <c r="I1173" s="180" t="s">
        <v>536</v>
      </c>
      <c r="J1173" s="625" t="s">
        <v>69</v>
      </c>
      <c r="K1173" s="604" t="s">
        <v>1002</v>
      </c>
      <c r="L1173" s="582" t="s">
        <v>2</v>
      </c>
      <c r="M1173" s="108" t="s">
        <v>1045</v>
      </c>
      <c r="N1173" s="230" t="s">
        <v>1046</v>
      </c>
      <c r="O1173" s="205"/>
    </row>
    <row r="1174" spans="1:15" ht="15.75" thickBot="1" x14ac:dyDescent="0.3">
      <c r="A1174" s="418" t="s">
        <v>407</v>
      </c>
      <c r="B1174" s="238" t="s">
        <v>1047</v>
      </c>
      <c r="C1174" s="252" t="s">
        <v>543</v>
      </c>
      <c r="D1174" s="532">
        <v>58.74</v>
      </c>
      <c r="E1174" s="532">
        <v>-2.9159999999999999</v>
      </c>
      <c r="F1174" s="116">
        <f t="shared" si="41"/>
        <v>3182</v>
      </c>
      <c r="G1174" s="27">
        <v>3338</v>
      </c>
      <c r="H1174" s="115">
        <v>3026</v>
      </c>
      <c r="I1174" s="180" t="s">
        <v>481</v>
      </c>
      <c r="J1174" s="625" t="s">
        <v>69</v>
      </c>
      <c r="K1174" s="604" t="s">
        <v>1002</v>
      </c>
      <c r="L1174" s="582" t="s">
        <v>2</v>
      </c>
      <c r="M1174" s="108" t="s">
        <v>1048</v>
      </c>
      <c r="N1174" s="230" t="s">
        <v>1049</v>
      </c>
      <c r="O1174" s="205"/>
    </row>
    <row r="1175" spans="1:15" ht="15.75" thickBot="1" x14ac:dyDescent="0.3">
      <c r="A1175" s="418" t="s">
        <v>407</v>
      </c>
      <c r="B1175" s="238" t="s">
        <v>1047</v>
      </c>
      <c r="C1175" s="252" t="s">
        <v>543</v>
      </c>
      <c r="D1175" s="532">
        <v>58.74</v>
      </c>
      <c r="E1175" s="532">
        <v>-2.9159999999999999</v>
      </c>
      <c r="F1175" s="116">
        <f t="shared" si="41"/>
        <v>3180</v>
      </c>
      <c r="G1175" s="27">
        <v>3338</v>
      </c>
      <c r="H1175" s="115">
        <v>3022</v>
      </c>
      <c r="I1175" s="181" t="s">
        <v>1050</v>
      </c>
      <c r="J1175" s="625" t="s">
        <v>69</v>
      </c>
      <c r="K1175" s="604" t="s">
        <v>1002</v>
      </c>
      <c r="L1175" s="582" t="s">
        <v>2</v>
      </c>
      <c r="M1175" s="108" t="s">
        <v>1051</v>
      </c>
      <c r="N1175" s="230" t="s">
        <v>1052</v>
      </c>
      <c r="O1175" s="205"/>
    </row>
    <row r="1176" spans="1:15" ht="15.75" thickBot="1" x14ac:dyDescent="0.3">
      <c r="A1176" s="418" t="s">
        <v>407</v>
      </c>
      <c r="B1176" s="238" t="s">
        <v>1047</v>
      </c>
      <c r="C1176" s="252" t="s">
        <v>543</v>
      </c>
      <c r="D1176" s="532">
        <v>58.74</v>
      </c>
      <c r="E1176" s="532">
        <v>-2.9159999999999999</v>
      </c>
      <c r="F1176" s="116">
        <f t="shared" si="41"/>
        <v>3179</v>
      </c>
      <c r="G1176" s="27">
        <v>3335</v>
      </c>
      <c r="H1176" s="115">
        <v>3023</v>
      </c>
      <c r="I1176" s="180" t="s">
        <v>430</v>
      </c>
      <c r="J1176" s="625" t="s">
        <v>420</v>
      </c>
      <c r="K1176" s="604" t="s">
        <v>1002</v>
      </c>
      <c r="L1176" s="582" t="s">
        <v>14</v>
      </c>
      <c r="M1176" s="108" t="s">
        <v>1053</v>
      </c>
      <c r="N1176" s="230" t="s">
        <v>1054</v>
      </c>
      <c r="O1176" s="205"/>
    </row>
    <row r="1177" spans="1:15" ht="15.75" thickBot="1" x14ac:dyDescent="0.3">
      <c r="A1177" s="418" t="s">
        <v>407</v>
      </c>
      <c r="B1177" s="238" t="s">
        <v>1047</v>
      </c>
      <c r="C1177" s="252" t="s">
        <v>543</v>
      </c>
      <c r="D1177" s="532">
        <v>58.74</v>
      </c>
      <c r="E1177" s="532">
        <v>-2.9159999999999999</v>
      </c>
      <c r="F1177" s="116">
        <f t="shared" si="41"/>
        <v>3173</v>
      </c>
      <c r="G1177" s="27">
        <v>3335</v>
      </c>
      <c r="H1177" s="115">
        <v>3011</v>
      </c>
      <c r="I1177" s="104" t="s">
        <v>835</v>
      </c>
      <c r="J1177" s="625" t="s">
        <v>180</v>
      </c>
      <c r="K1177" s="604" t="s">
        <v>1002</v>
      </c>
      <c r="L1177" s="582" t="s">
        <v>14</v>
      </c>
      <c r="M1177" s="108" t="s">
        <v>1055</v>
      </c>
      <c r="N1177" s="230" t="s">
        <v>1056</v>
      </c>
      <c r="O1177" s="205"/>
    </row>
    <row r="1178" spans="1:15" ht="15.75" thickBot="1" x14ac:dyDescent="0.3">
      <c r="A1178" s="418" t="s">
        <v>407</v>
      </c>
      <c r="B1178" s="238" t="s">
        <v>1047</v>
      </c>
      <c r="C1178" s="252" t="s">
        <v>543</v>
      </c>
      <c r="D1178" s="532">
        <v>59.35</v>
      </c>
      <c r="E1178" s="532">
        <v>-2.8730000000000002</v>
      </c>
      <c r="F1178" s="116">
        <f t="shared" si="41"/>
        <v>3087</v>
      </c>
      <c r="G1178" s="27">
        <v>3333</v>
      </c>
      <c r="H1178" s="115">
        <v>2841</v>
      </c>
      <c r="I1178" s="180" t="s">
        <v>481</v>
      </c>
      <c r="J1178" s="625" t="s">
        <v>180</v>
      </c>
      <c r="K1178" s="604" t="s">
        <v>1002</v>
      </c>
      <c r="L1178" s="582" t="s">
        <v>14</v>
      </c>
      <c r="M1178" s="108" t="s">
        <v>1057</v>
      </c>
      <c r="N1178" s="230" t="s">
        <v>1058</v>
      </c>
      <c r="O1178" s="205"/>
    </row>
    <row r="1179" spans="1:15" x14ac:dyDescent="0.25">
      <c r="A1179" s="418" t="s">
        <v>407</v>
      </c>
      <c r="B1179" s="238" t="s">
        <v>1059</v>
      </c>
      <c r="C1179" s="252" t="s">
        <v>543</v>
      </c>
      <c r="D1179" s="532">
        <v>59.23</v>
      </c>
      <c r="E1179" s="532">
        <v>-2.5680000000000001</v>
      </c>
      <c r="F1179" s="116">
        <f t="shared" si="41"/>
        <v>3001.5</v>
      </c>
      <c r="G1179" s="27">
        <v>3097</v>
      </c>
      <c r="H1179" s="115">
        <v>2906</v>
      </c>
      <c r="I1179" s="104" t="s">
        <v>82</v>
      </c>
      <c r="J1179" s="625" t="s">
        <v>420</v>
      </c>
      <c r="K1179" s="604" t="s">
        <v>1002</v>
      </c>
      <c r="L1179" s="582" t="s">
        <v>14</v>
      </c>
      <c r="M1179" s="108" t="s">
        <v>1060</v>
      </c>
      <c r="N1179" s="230" t="s">
        <v>1061</v>
      </c>
      <c r="O1179" s="205"/>
    </row>
    <row r="1180" spans="1:15" x14ac:dyDescent="0.25">
      <c r="A1180" s="418" t="s">
        <v>407</v>
      </c>
      <c r="B1180" s="238" t="s">
        <v>1047</v>
      </c>
      <c r="C1180" s="252" t="s">
        <v>543</v>
      </c>
      <c r="D1180" s="532">
        <v>59.35</v>
      </c>
      <c r="E1180" s="532">
        <v>-2.8730000000000002</v>
      </c>
      <c r="F1180" s="116">
        <f t="shared" si="41"/>
        <v>2980</v>
      </c>
      <c r="G1180" s="27">
        <v>3180</v>
      </c>
      <c r="H1180" s="115">
        <v>2780</v>
      </c>
      <c r="I1180" s="104" t="s">
        <v>1062</v>
      </c>
      <c r="J1180" s="625" t="s">
        <v>1063</v>
      </c>
      <c r="K1180" s="604" t="s">
        <v>1002</v>
      </c>
      <c r="L1180" s="582" t="s">
        <v>14</v>
      </c>
      <c r="M1180" s="108" t="s">
        <v>1064</v>
      </c>
      <c r="N1180" s="230" t="s">
        <v>1065</v>
      </c>
      <c r="O1180" s="205"/>
    </row>
    <row r="1181" spans="1:15" x14ac:dyDescent="0.25">
      <c r="A1181" s="418" t="s">
        <v>407</v>
      </c>
      <c r="B1181" s="238" t="s">
        <v>1047</v>
      </c>
      <c r="C1181" s="252" t="s">
        <v>543</v>
      </c>
      <c r="D1181" s="532">
        <v>59.35</v>
      </c>
      <c r="E1181" s="532">
        <v>-2.8730000000000002</v>
      </c>
      <c r="F1181" s="116">
        <f t="shared" si="41"/>
        <v>2947.5</v>
      </c>
      <c r="G1181" s="27">
        <v>3010</v>
      </c>
      <c r="H1181" s="115">
        <v>2885</v>
      </c>
      <c r="I1181" s="104" t="s">
        <v>41</v>
      </c>
      <c r="J1181" s="625" t="s">
        <v>526</v>
      </c>
      <c r="K1181" s="604" t="s">
        <v>1002</v>
      </c>
      <c r="L1181" s="582" t="s">
        <v>14</v>
      </c>
      <c r="M1181" s="108" t="s">
        <v>1066</v>
      </c>
      <c r="N1181" s="230" t="s">
        <v>1067</v>
      </c>
      <c r="O1181" s="205"/>
    </row>
    <row r="1182" spans="1:15" ht="15.75" thickBot="1" x14ac:dyDescent="0.3">
      <c r="A1182" s="418" t="s">
        <v>407</v>
      </c>
      <c r="B1182" s="238" t="s">
        <v>1047</v>
      </c>
      <c r="C1182" s="252" t="s">
        <v>543</v>
      </c>
      <c r="D1182" s="532">
        <v>59.35</v>
      </c>
      <c r="E1182" s="532">
        <v>-2.8730000000000002</v>
      </c>
      <c r="F1182" s="116">
        <f t="shared" si="41"/>
        <v>2885.5</v>
      </c>
      <c r="G1182" s="27">
        <v>3008</v>
      </c>
      <c r="H1182" s="115">
        <v>2763</v>
      </c>
      <c r="I1182" s="104" t="s">
        <v>559</v>
      </c>
      <c r="J1182" s="625" t="s">
        <v>516</v>
      </c>
      <c r="K1182" s="604" t="s">
        <v>1002</v>
      </c>
      <c r="L1182" s="582" t="s">
        <v>14</v>
      </c>
      <c r="M1182" s="108" t="s">
        <v>1068</v>
      </c>
      <c r="N1182" s="230" t="s">
        <v>1069</v>
      </c>
      <c r="O1182" s="205"/>
    </row>
    <row r="1183" spans="1:15" ht="15.75" thickBot="1" x14ac:dyDescent="0.3">
      <c r="A1183" s="418" t="s">
        <v>407</v>
      </c>
      <c r="B1183" s="238" t="s">
        <v>1047</v>
      </c>
      <c r="C1183" s="252" t="s">
        <v>543</v>
      </c>
      <c r="D1183" s="532">
        <v>59.35</v>
      </c>
      <c r="E1183" s="532">
        <v>-2.8730000000000002</v>
      </c>
      <c r="F1183" s="116">
        <f t="shared" si="41"/>
        <v>2521.5</v>
      </c>
      <c r="G1183" s="27">
        <v>2580</v>
      </c>
      <c r="H1183" s="115">
        <v>2463</v>
      </c>
      <c r="I1183" s="180" t="s">
        <v>352</v>
      </c>
      <c r="J1183" s="625" t="s">
        <v>180</v>
      </c>
      <c r="K1183" s="604" t="s">
        <v>1002</v>
      </c>
      <c r="L1183" s="582" t="s">
        <v>14</v>
      </c>
      <c r="M1183" s="108" t="s">
        <v>1070</v>
      </c>
      <c r="N1183" s="230" t="s">
        <v>1071</v>
      </c>
      <c r="O1183" s="205"/>
    </row>
    <row r="1184" spans="1:15" x14ac:dyDescent="0.25">
      <c r="A1184" s="418" t="s">
        <v>407</v>
      </c>
      <c r="B1184" s="238" t="s">
        <v>1047</v>
      </c>
      <c r="C1184" s="252" t="s">
        <v>543</v>
      </c>
      <c r="D1184" s="532">
        <v>59.35</v>
      </c>
      <c r="E1184" s="532">
        <v>-2.8730000000000002</v>
      </c>
      <c r="F1184" s="116">
        <f t="shared" si="41"/>
        <v>2458.5</v>
      </c>
      <c r="G1184" s="27">
        <v>2570</v>
      </c>
      <c r="H1184" s="115">
        <v>2347</v>
      </c>
      <c r="I1184" s="104" t="s">
        <v>82</v>
      </c>
      <c r="J1184" s="625" t="s">
        <v>420</v>
      </c>
      <c r="K1184" s="604" t="s">
        <v>1002</v>
      </c>
      <c r="L1184" s="582" t="s">
        <v>14</v>
      </c>
      <c r="M1184" s="108" t="s">
        <v>1072</v>
      </c>
      <c r="N1184" s="230" t="s">
        <v>1073</v>
      </c>
      <c r="O1184" s="205"/>
    </row>
    <row r="1185" spans="1:15" x14ac:dyDescent="0.25">
      <c r="A1185" s="418" t="s">
        <v>407</v>
      </c>
      <c r="B1185" s="208" t="s">
        <v>3146</v>
      </c>
      <c r="C1185" s="252" t="s">
        <v>542</v>
      </c>
      <c r="D1185" s="29">
        <v>50.860219000000001</v>
      </c>
      <c r="E1185" s="29">
        <v>-0.38328400000000001</v>
      </c>
      <c r="F1185" s="116">
        <f t="shared" si="41"/>
        <v>3513</v>
      </c>
      <c r="G1185" s="27">
        <v>3643</v>
      </c>
      <c r="H1185" s="115">
        <v>3383</v>
      </c>
      <c r="I1185" s="196" t="s">
        <v>503</v>
      </c>
      <c r="J1185" s="625" t="s">
        <v>69</v>
      </c>
      <c r="K1185" s="604" t="s">
        <v>410</v>
      </c>
      <c r="L1185" s="582" t="s">
        <v>2</v>
      </c>
      <c r="M1185" s="325" t="s">
        <v>3145</v>
      </c>
      <c r="N1185" s="209" t="s">
        <v>504</v>
      </c>
      <c r="O1185" s="205"/>
    </row>
    <row r="1186" spans="1:15" ht="15.75" thickBot="1" x14ac:dyDescent="0.3">
      <c r="A1186" s="418" t="s">
        <v>407</v>
      </c>
      <c r="B1186" s="205" t="s">
        <v>3148</v>
      </c>
      <c r="C1186" s="252" t="s">
        <v>542</v>
      </c>
      <c r="D1186" s="29">
        <v>54.074439099999999</v>
      </c>
      <c r="E1186" s="29">
        <v>-2.2872840999999999</v>
      </c>
      <c r="F1186" s="116">
        <f t="shared" si="41"/>
        <v>3586</v>
      </c>
      <c r="G1186" s="27">
        <v>3650</v>
      </c>
      <c r="H1186" s="115">
        <v>3522</v>
      </c>
      <c r="I1186" s="196" t="s">
        <v>144</v>
      </c>
      <c r="J1186" s="61" t="s">
        <v>420</v>
      </c>
      <c r="K1186" s="604" t="s">
        <v>410</v>
      </c>
      <c r="L1186" s="582" t="s">
        <v>14</v>
      </c>
      <c r="M1186" s="325" t="s">
        <v>3147</v>
      </c>
      <c r="N1186" s="209" t="s">
        <v>4055</v>
      </c>
      <c r="O1186" s="205"/>
    </row>
    <row r="1187" spans="1:15" ht="15.75" thickBot="1" x14ac:dyDescent="0.3">
      <c r="A1187" s="418" t="s">
        <v>407</v>
      </c>
      <c r="B1187" s="238" t="s">
        <v>3151</v>
      </c>
      <c r="C1187" s="252" t="s">
        <v>542</v>
      </c>
      <c r="D1187" s="29">
        <v>50.828980999999999</v>
      </c>
      <c r="E1187" s="29">
        <v>-0.11282499999999999</v>
      </c>
      <c r="F1187" s="116">
        <f t="shared" si="41"/>
        <v>3525</v>
      </c>
      <c r="G1187" s="27">
        <v>3650</v>
      </c>
      <c r="H1187" s="115">
        <v>3400</v>
      </c>
      <c r="I1187" s="175" t="s">
        <v>481</v>
      </c>
      <c r="J1187" s="625" t="s">
        <v>69</v>
      </c>
      <c r="K1187" s="604" t="s">
        <v>410</v>
      </c>
      <c r="L1187" s="582" t="s">
        <v>2</v>
      </c>
      <c r="M1187" s="325" t="s">
        <v>3149</v>
      </c>
      <c r="N1187" s="209" t="s">
        <v>3150</v>
      </c>
      <c r="O1187" s="205" t="s">
        <v>972</v>
      </c>
    </row>
    <row r="1188" spans="1:15" ht="15.75" thickBot="1" x14ac:dyDescent="0.3">
      <c r="A1188" s="418" t="s">
        <v>406</v>
      </c>
      <c r="B1188" s="238" t="s">
        <v>530</v>
      </c>
      <c r="C1188" s="252" t="s">
        <v>542</v>
      </c>
      <c r="D1188" s="532">
        <v>51.843406999999999</v>
      </c>
      <c r="E1188" s="532">
        <v>-1.8504430000000001</v>
      </c>
      <c r="F1188" s="116">
        <f t="shared" si="41"/>
        <v>3827</v>
      </c>
      <c r="G1188" s="27">
        <v>3943</v>
      </c>
      <c r="H1188" s="115">
        <v>3711</v>
      </c>
      <c r="I1188" s="104" t="s">
        <v>531</v>
      </c>
      <c r="J1188" s="625" t="s">
        <v>526</v>
      </c>
      <c r="K1188" s="108" t="s">
        <v>2939</v>
      </c>
      <c r="L1188" s="192" t="s">
        <v>14</v>
      </c>
      <c r="M1188" s="108" t="s">
        <v>532</v>
      </c>
      <c r="N1188" s="230" t="s">
        <v>533</v>
      </c>
      <c r="O1188" s="205" t="s">
        <v>1016</v>
      </c>
    </row>
    <row r="1189" spans="1:15" ht="15.75" thickBot="1" x14ac:dyDescent="0.3">
      <c r="A1189" s="418" t="s">
        <v>406</v>
      </c>
      <c r="B1189" s="238" t="s">
        <v>455</v>
      </c>
      <c r="C1189" s="252" t="s">
        <v>542</v>
      </c>
      <c r="D1189" s="532">
        <v>51.324705999999999</v>
      </c>
      <c r="E1189" s="532">
        <v>-2.7532480000000001</v>
      </c>
      <c r="F1189" s="116">
        <f t="shared" si="41"/>
        <v>3715</v>
      </c>
      <c r="G1189" s="197">
        <v>3780</v>
      </c>
      <c r="H1189" s="112">
        <v>3650</v>
      </c>
      <c r="I1189" s="178" t="s">
        <v>352</v>
      </c>
      <c r="J1189" s="218" t="s">
        <v>69</v>
      </c>
      <c r="K1189" s="108" t="s">
        <v>456</v>
      </c>
      <c r="L1189" s="192" t="s">
        <v>2</v>
      </c>
      <c r="M1189" s="108" t="s">
        <v>457</v>
      </c>
      <c r="N1189" s="230" t="s">
        <v>458</v>
      </c>
      <c r="O1189" s="205" t="s">
        <v>978</v>
      </c>
    </row>
    <row r="1190" spans="1:15" ht="15.75" thickBot="1" x14ac:dyDescent="0.3">
      <c r="A1190" s="418" t="s">
        <v>406</v>
      </c>
      <c r="B1190" s="238" t="s">
        <v>477</v>
      </c>
      <c r="C1190" s="252" t="s">
        <v>542</v>
      </c>
      <c r="D1190" s="532">
        <v>53.079802999999998</v>
      </c>
      <c r="E1190" s="532">
        <v>-1.6409419999999999</v>
      </c>
      <c r="F1190" s="116">
        <f t="shared" si="41"/>
        <v>3588.5</v>
      </c>
      <c r="G1190" s="197">
        <v>3656</v>
      </c>
      <c r="H1190" s="112">
        <v>3521</v>
      </c>
      <c r="I1190" s="76" t="s">
        <v>144</v>
      </c>
      <c r="J1190" s="218" t="s">
        <v>478</v>
      </c>
      <c r="K1190" s="108" t="s">
        <v>456</v>
      </c>
      <c r="L1190" s="192" t="s">
        <v>14</v>
      </c>
      <c r="M1190" s="108" t="s">
        <v>513</v>
      </c>
      <c r="N1190" s="230" t="s">
        <v>514</v>
      </c>
      <c r="O1190" s="205" t="s">
        <v>979</v>
      </c>
    </row>
    <row r="1191" spans="1:15" ht="15.75" thickBot="1" x14ac:dyDescent="0.3">
      <c r="A1191" s="418" t="s">
        <v>406</v>
      </c>
      <c r="B1191" s="238" t="s">
        <v>522</v>
      </c>
      <c r="C1191" s="252" t="s">
        <v>542</v>
      </c>
      <c r="D1191" s="532">
        <v>54.074438999999998</v>
      </c>
      <c r="E1191" s="532">
        <v>-2.2872840000000001</v>
      </c>
      <c r="F1191" s="116">
        <f t="shared" si="41"/>
        <v>3588.5</v>
      </c>
      <c r="G1191" s="197">
        <v>3654</v>
      </c>
      <c r="H1191" s="112">
        <v>3523</v>
      </c>
      <c r="I1191" s="178" t="s">
        <v>126</v>
      </c>
      <c r="J1191" s="218" t="s">
        <v>445</v>
      </c>
      <c r="K1191" s="108" t="s">
        <v>456</v>
      </c>
      <c r="L1191" s="192" t="s">
        <v>14</v>
      </c>
      <c r="M1191" s="108" t="s">
        <v>523</v>
      </c>
      <c r="N1191" s="230" t="s">
        <v>524</v>
      </c>
      <c r="O1191" s="205" t="s">
        <v>980</v>
      </c>
    </row>
    <row r="1192" spans="1:15" x14ac:dyDescent="0.25">
      <c r="A1192" s="418" t="s">
        <v>406</v>
      </c>
      <c r="B1192" s="238" t="s">
        <v>455</v>
      </c>
      <c r="C1192" s="252" t="s">
        <v>542</v>
      </c>
      <c r="D1192" s="532">
        <v>51.324705999999999</v>
      </c>
      <c r="E1192" s="532">
        <v>-2.7532480000000001</v>
      </c>
      <c r="F1192" s="116">
        <f t="shared" si="41"/>
        <v>3539.5</v>
      </c>
      <c r="G1192" s="197">
        <v>3695</v>
      </c>
      <c r="H1192" s="112">
        <v>3384</v>
      </c>
      <c r="I1192" s="76" t="s">
        <v>510</v>
      </c>
      <c r="J1192" s="218" t="s">
        <v>69</v>
      </c>
      <c r="K1192" s="108" t="s">
        <v>456</v>
      </c>
      <c r="L1192" s="192" t="s">
        <v>2</v>
      </c>
      <c r="M1192" s="108" t="s">
        <v>511</v>
      </c>
      <c r="N1192" s="230" t="s">
        <v>512</v>
      </c>
      <c r="O1192" s="205" t="s">
        <v>978</v>
      </c>
    </row>
    <row r="1193" spans="1:15" x14ac:dyDescent="0.25">
      <c r="A1193" s="418" t="s">
        <v>406</v>
      </c>
      <c r="B1193" s="238" t="s">
        <v>525</v>
      </c>
      <c r="C1193" s="252" t="s">
        <v>542</v>
      </c>
      <c r="D1193" s="532">
        <v>54.081682999999998</v>
      </c>
      <c r="E1193" s="532">
        <v>-2.2736200000000002</v>
      </c>
      <c r="F1193" s="116">
        <f t="shared" si="41"/>
        <v>3512.5</v>
      </c>
      <c r="G1193" s="197">
        <v>3648</v>
      </c>
      <c r="H1193" s="112">
        <v>3377</v>
      </c>
      <c r="I1193" s="76" t="s">
        <v>38</v>
      </c>
      <c r="J1193" s="218" t="s">
        <v>526</v>
      </c>
      <c r="K1193" s="108" t="s">
        <v>456</v>
      </c>
      <c r="L1193" s="192" t="s">
        <v>14</v>
      </c>
      <c r="M1193" s="108" t="s">
        <v>527</v>
      </c>
      <c r="N1193" s="230" t="s">
        <v>528</v>
      </c>
      <c r="O1193" s="205" t="s">
        <v>981</v>
      </c>
    </row>
    <row r="1194" spans="1:15" ht="15.75" thickBot="1" x14ac:dyDescent="0.3">
      <c r="A1194" s="418" t="s">
        <v>406</v>
      </c>
      <c r="B1194" s="238" t="s">
        <v>463</v>
      </c>
      <c r="C1194" s="252" t="s">
        <v>544</v>
      </c>
      <c r="D1194" s="532">
        <v>51.632530000000003</v>
      </c>
      <c r="E1194" s="532">
        <v>-4.6929030000000003</v>
      </c>
      <c r="F1194" s="116">
        <f t="shared" si="41"/>
        <v>3607.5</v>
      </c>
      <c r="G1194" s="197">
        <v>3695</v>
      </c>
      <c r="H1194" s="112">
        <v>3520</v>
      </c>
      <c r="I1194" s="76" t="s">
        <v>12</v>
      </c>
      <c r="J1194" s="218" t="s">
        <v>69</v>
      </c>
      <c r="K1194" s="108" t="s">
        <v>456</v>
      </c>
      <c r="L1194" s="17" t="s">
        <v>2</v>
      </c>
      <c r="M1194" s="108" t="s">
        <v>464</v>
      </c>
      <c r="N1194" s="230" t="s">
        <v>465</v>
      </c>
      <c r="O1194" s="205" t="s">
        <v>982</v>
      </c>
    </row>
    <row r="1195" spans="1:15" ht="15.75" thickBot="1" x14ac:dyDescent="0.3">
      <c r="A1195" s="418" t="s">
        <v>406</v>
      </c>
      <c r="B1195" s="238" t="s">
        <v>539</v>
      </c>
      <c r="C1195" s="252" t="s">
        <v>544</v>
      </c>
      <c r="D1195" s="532">
        <v>53.309840000000001</v>
      </c>
      <c r="E1195" s="532">
        <v>-3.3726340000000001</v>
      </c>
      <c r="F1195" s="116">
        <f t="shared" si="41"/>
        <v>3250</v>
      </c>
      <c r="G1195" s="197">
        <v>4000</v>
      </c>
      <c r="H1195" s="113">
        <v>2500</v>
      </c>
      <c r="I1195" s="178" t="s">
        <v>83</v>
      </c>
      <c r="J1195" s="218" t="s">
        <v>69</v>
      </c>
      <c r="K1195" s="108" t="s">
        <v>2936</v>
      </c>
      <c r="L1195" s="17" t="s">
        <v>2</v>
      </c>
      <c r="M1195" s="108" t="s">
        <v>540</v>
      </c>
      <c r="N1195" s="230" t="s">
        <v>541</v>
      </c>
      <c r="O1195" s="205" t="s">
        <v>983</v>
      </c>
    </row>
    <row r="1196" spans="1:15" ht="15.75" thickBot="1" x14ac:dyDescent="0.3">
      <c r="A1196" s="418" t="s">
        <v>406</v>
      </c>
      <c r="B1196" s="238" t="s">
        <v>466</v>
      </c>
      <c r="C1196" s="252" t="s">
        <v>542</v>
      </c>
      <c r="D1196" s="532">
        <v>50.828980999999999</v>
      </c>
      <c r="E1196" s="532">
        <v>-0.11282499999999999</v>
      </c>
      <c r="F1196" s="116">
        <f t="shared" si="41"/>
        <v>3575</v>
      </c>
      <c r="G1196" s="27">
        <v>3650</v>
      </c>
      <c r="H1196" s="115">
        <v>3500</v>
      </c>
      <c r="I1196" s="104" t="s">
        <v>467</v>
      </c>
      <c r="J1196" s="625" t="s">
        <v>438</v>
      </c>
      <c r="K1196" s="108" t="s">
        <v>2940</v>
      </c>
      <c r="L1196" s="192" t="s">
        <v>14</v>
      </c>
      <c r="M1196" s="108" t="s">
        <v>469</v>
      </c>
      <c r="N1196" s="230" t="s">
        <v>470</v>
      </c>
      <c r="O1196" s="205" t="s">
        <v>1017</v>
      </c>
    </row>
    <row r="1197" spans="1:15" ht="15.75" thickBot="1" x14ac:dyDescent="0.3">
      <c r="A1197" s="418" t="s">
        <v>406</v>
      </c>
      <c r="B1197" s="238" t="s">
        <v>466</v>
      </c>
      <c r="C1197" s="252" t="s">
        <v>542</v>
      </c>
      <c r="D1197" s="532">
        <v>50.828980999999999</v>
      </c>
      <c r="E1197" s="532">
        <v>-0.11282499999999999</v>
      </c>
      <c r="F1197" s="116">
        <f t="shared" si="41"/>
        <v>3575</v>
      </c>
      <c r="G1197" s="27">
        <v>3650</v>
      </c>
      <c r="H1197" s="115">
        <v>3500</v>
      </c>
      <c r="I1197" s="180" t="s">
        <v>471</v>
      </c>
      <c r="J1197" s="625" t="s">
        <v>438</v>
      </c>
      <c r="K1197" s="108" t="s">
        <v>2940</v>
      </c>
      <c r="L1197" s="192" t="s">
        <v>14</v>
      </c>
      <c r="M1197" s="108" t="s">
        <v>472</v>
      </c>
      <c r="N1197" s="230" t="s">
        <v>473</v>
      </c>
      <c r="O1197" s="205" t="s">
        <v>1017</v>
      </c>
    </row>
    <row r="1198" spans="1:15" ht="15.75" thickBot="1" x14ac:dyDescent="0.3">
      <c r="A1198" s="418" t="s">
        <v>406</v>
      </c>
      <c r="B1198" s="238" t="s">
        <v>1018</v>
      </c>
      <c r="C1198" s="252" t="s">
        <v>542</v>
      </c>
      <c r="D1198" s="532">
        <v>51.321578000000002</v>
      </c>
      <c r="E1198" s="532">
        <v>0.37268200000000001</v>
      </c>
      <c r="F1198" s="116">
        <f t="shared" ref="F1198:F1229" si="42">AVERAGE(G1198:H1198)</f>
        <v>3480</v>
      </c>
      <c r="G1198" s="27">
        <v>3980</v>
      </c>
      <c r="H1198" s="115">
        <v>2980</v>
      </c>
      <c r="I1198" s="180" t="s">
        <v>83</v>
      </c>
      <c r="J1198" s="625" t="s">
        <v>478</v>
      </c>
      <c r="K1198" s="416" t="s">
        <v>2513</v>
      </c>
      <c r="L1198" s="17" t="s">
        <v>14</v>
      </c>
      <c r="M1198" s="108" t="s">
        <v>1019</v>
      </c>
      <c r="N1198" s="230" t="s">
        <v>1020</v>
      </c>
      <c r="O1198" s="205" t="s">
        <v>1021</v>
      </c>
    </row>
    <row r="1199" spans="1:15" ht="15.75" thickBot="1" x14ac:dyDescent="0.3">
      <c r="A1199" s="418" t="s">
        <v>406</v>
      </c>
      <c r="B1199" s="238" t="s">
        <v>459</v>
      </c>
      <c r="C1199" s="252" t="s">
        <v>544</v>
      </c>
      <c r="D1199" s="532">
        <v>52.034891000000002</v>
      </c>
      <c r="E1199" s="532">
        <v>-3.1935730000000002</v>
      </c>
      <c r="F1199" s="116">
        <f t="shared" si="42"/>
        <v>3650</v>
      </c>
      <c r="G1199" s="27">
        <v>4000</v>
      </c>
      <c r="H1199" s="115">
        <v>3300</v>
      </c>
      <c r="I1199" s="104" t="s">
        <v>460</v>
      </c>
      <c r="J1199" s="625" t="s">
        <v>80</v>
      </c>
      <c r="K1199" s="108" t="s">
        <v>2940</v>
      </c>
      <c r="L1199" s="192" t="s">
        <v>14</v>
      </c>
      <c r="M1199" s="108" t="s">
        <v>461</v>
      </c>
      <c r="N1199" s="230" t="s">
        <v>462</v>
      </c>
      <c r="O1199" s="205" t="s">
        <v>1022</v>
      </c>
    </row>
    <row r="1200" spans="1:15" ht="15.75" thickBot="1" x14ac:dyDescent="0.3">
      <c r="A1200" s="418" t="s">
        <v>1023</v>
      </c>
      <c r="B1200" s="238" t="s">
        <v>1024</v>
      </c>
      <c r="C1200" s="252" t="s">
        <v>542</v>
      </c>
      <c r="D1200" s="532">
        <v>52.17</v>
      </c>
      <c r="E1200" s="532">
        <v>0.1</v>
      </c>
      <c r="F1200" s="116">
        <f t="shared" si="42"/>
        <v>3705.5</v>
      </c>
      <c r="G1200" s="27">
        <v>3762</v>
      </c>
      <c r="H1200" s="115">
        <v>3649</v>
      </c>
      <c r="I1200" s="180" t="s">
        <v>1025</v>
      </c>
      <c r="J1200" s="625" t="s">
        <v>1026</v>
      </c>
      <c r="K1200" s="108" t="s">
        <v>2513</v>
      </c>
      <c r="L1200" s="17" t="s">
        <v>14</v>
      </c>
      <c r="M1200" s="108">
        <v>613</v>
      </c>
      <c r="N1200" s="230" t="s">
        <v>4545</v>
      </c>
      <c r="O1200" s="205"/>
    </row>
    <row r="1201" spans="1:15" ht="15.75" thickBot="1" x14ac:dyDescent="0.3">
      <c r="A1201" s="418" t="s">
        <v>1023</v>
      </c>
      <c r="B1201" s="238" t="s">
        <v>1024</v>
      </c>
      <c r="C1201" s="252" t="s">
        <v>542</v>
      </c>
      <c r="D1201" s="532">
        <v>52.17</v>
      </c>
      <c r="E1201" s="532">
        <v>0.1</v>
      </c>
      <c r="F1201" s="116">
        <f t="shared" si="42"/>
        <v>3502.5</v>
      </c>
      <c r="G1201" s="27">
        <v>3629</v>
      </c>
      <c r="H1201" s="115">
        <v>3376</v>
      </c>
      <c r="I1201" s="180" t="s">
        <v>1025</v>
      </c>
      <c r="J1201" s="625" t="s">
        <v>1026</v>
      </c>
      <c r="K1201" s="108" t="s">
        <v>2513</v>
      </c>
      <c r="L1201" s="17" t="s">
        <v>14</v>
      </c>
      <c r="M1201" s="108">
        <v>611</v>
      </c>
      <c r="N1201" s="230" t="s">
        <v>4546</v>
      </c>
      <c r="O1201" s="205"/>
    </row>
    <row r="1202" spans="1:15" x14ac:dyDescent="0.25">
      <c r="A1202" s="821" t="s">
        <v>973</v>
      </c>
      <c r="B1202" s="238" t="s">
        <v>1005</v>
      </c>
      <c r="C1202" s="252" t="s">
        <v>543</v>
      </c>
      <c r="D1202" s="532">
        <v>57.58</v>
      </c>
      <c r="E1202" s="532">
        <v>-3.91</v>
      </c>
      <c r="F1202" s="116">
        <f t="shared" si="42"/>
        <v>3240</v>
      </c>
      <c r="G1202" s="17">
        <v>3370</v>
      </c>
      <c r="H1202" s="576">
        <v>3110</v>
      </c>
      <c r="I1202" s="97" t="s">
        <v>559</v>
      </c>
      <c r="J1202" s="628" t="s">
        <v>69</v>
      </c>
      <c r="K1202" s="108" t="s">
        <v>2938</v>
      </c>
      <c r="L1202" s="576" t="s">
        <v>2</v>
      </c>
      <c r="M1202" s="108" t="s">
        <v>1007</v>
      </c>
      <c r="N1202" s="230" t="s">
        <v>1008</v>
      </c>
      <c r="O1202" s="205"/>
    </row>
    <row r="1203" spans="1:15" x14ac:dyDescent="0.25">
      <c r="A1203" s="821" t="s">
        <v>973</v>
      </c>
      <c r="B1203" s="238" t="s">
        <v>1027</v>
      </c>
      <c r="C1203" s="252" t="s">
        <v>543</v>
      </c>
      <c r="D1203" s="532">
        <v>59.16</v>
      </c>
      <c r="E1203" s="532">
        <v>-3.0979999999999999</v>
      </c>
      <c r="F1203" s="116">
        <f t="shared" si="42"/>
        <v>3500</v>
      </c>
      <c r="G1203" s="27">
        <v>3630</v>
      </c>
      <c r="H1203" s="115">
        <v>3370</v>
      </c>
      <c r="I1203" s="104" t="s">
        <v>1028</v>
      </c>
      <c r="J1203" s="625" t="s">
        <v>420</v>
      </c>
      <c r="K1203" s="108" t="s">
        <v>2938</v>
      </c>
      <c r="L1203" s="576" t="s">
        <v>14</v>
      </c>
      <c r="M1203" s="108" t="s">
        <v>1029</v>
      </c>
      <c r="N1203" s="230" t="s">
        <v>1030</v>
      </c>
      <c r="O1203" s="205"/>
    </row>
    <row r="1204" spans="1:15" ht="15.75" thickBot="1" x14ac:dyDescent="0.3">
      <c r="A1204" s="821" t="s">
        <v>973</v>
      </c>
      <c r="B1204" s="238" t="s">
        <v>1038</v>
      </c>
      <c r="C1204" s="252" t="s">
        <v>543</v>
      </c>
      <c r="D1204" s="532">
        <v>59.13</v>
      </c>
      <c r="E1204" s="532">
        <v>-3.05</v>
      </c>
      <c r="F1204" s="116">
        <f t="shared" si="42"/>
        <v>3230</v>
      </c>
      <c r="G1204" s="27">
        <v>3360</v>
      </c>
      <c r="H1204" s="115">
        <v>3100</v>
      </c>
      <c r="I1204" s="104" t="s">
        <v>1039</v>
      </c>
      <c r="J1204" s="625" t="s">
        <v>420</v>
      </c>
      <c r="K1204" s="604" t="s">
        <v>1006</v>
      </c>
      <c r="L1204" s="576" t="s">
        <v>14</v>
      </c>
      <c r="M1204" s="108" t="s">
        <v>1040</v>
      </c>
      <c r="N1204" s="230" t="s">
        <v>1041</v>
      </c>
      <c r="O1204" s="205"/>
    </row>
    <row r="1205" spans="1:15" ht="15.75" thickBot="1" x14ac:dyDescent="0.3">
      <c r="A1205" s="821" t="s">
        <v>973</v>
      </c>
      <c r="B1205" s="238" t="s">
        <v>1027</v>
      </c>
      <c r="C1205" s="252" t="s">
        <v>543</v>
      </c>
      <c r="D1205" s="532">
        <v>59.16</v>
      </c>
      <c r="E1205" s="532">
        <v>-3.0979999999999999</v>
      </c>
      <c r="F1205" s="116">
        <f t="shared" si="42"/>
        <v>3230</v>
      </c>
      <c r="G1205" s="27">
        <v>3360</v>
      </c>
      <c r="H1205" s="115">
        <v>3100</v>
      </c>
      <c r="I1205" s="180" t="s">
        <v>6</v>
      </c>
      <c r="J1205" s="625" t="s">
        <v>80</v>
      </c>
      <c r="K1205" s="604" t="s">
        <v>1006</v>
      </c>
      <c r="L1205" s="576" t="s">
        <v>14</v>
      </c>
      <c r="M1205" s="108" t="s">
        <v>1042</v>
      </c>
      <c r="N1205" s="230" t="s">
        <v>1043</v>
      </c>
      <c r="O1205" s="205"/>
    </row>
    <row r="1206" spans="1:15" x14ac:dyDescent="0.25">
      <c r="A1206" s="418" t="s">
        <v>2414</v>
      </c>
      <c r="B1206" s="238" t="s">
        <v>2416</v>
      </c>
      <c r="C1206" s="252" t="s">
        <v>542</v>
      </c>
      <c r="D1206" s="532">
        <v>51.87</v>
      </c>
      <c r="E1206" s="532">
        <v>-1.9</v>
      </c>
      <c r="F1206" s="116">
        <f t="shared" si="42"/>
        <v>3591</v>
      </c>
      <c r="G1206" s="27">
        <v>3653</v>
      </c>
      <c r="H1206" s="115">
        <v>3529</v>
      </c>
      <c r="I1206" s="125" t="s">
        <v>144</v>
      </c>
      <c r="J1206" s="629" t="s">
        <v>2495</v>
      </c>
      <c r="K1206" s="108" t="s">
        <v>2940</v>
      </c>
      <c r="L1206" s="630" t="s">
        <v>14</v>
      </c>
      <c r="M1206" s="108" t="s">
        <v>2417</v>
      </c>
      <c r="N1206" s="651" t="s">
        <v>2452</v>
      </c>
      <c r="O1206" s="205" t="s">
        <v>3861</v>
      </c>
    </row>
    <row r="1207" spans="1:15" ht="15.75" thickBot="1" x14ac:dyDescent="0.3">
      <c r="A1207" s="418" t="s">
        <v>2414</v>
      </c>
      <c r="B1207" s="238" t="s">
        <v>2416</v>
      </c>
      <c r="C1207" s="252" t="s">
        <v>542</v>
      </c>
      <c r="D1207" s="532">
        <v>51.87</v>
      </c>
      <c r="E1207" s="532">
        <v>-1.9</v>
      </c>
      <c r="F1207" s="116">
        <f t="shared" si="42"/>
        <v>3541</v>
      </c>
      <c r="G1207" s="539">
        <v>3891</v>
      </c>
      <c r="H1207" s="115">
        <v>3191</v>
      </c>
      <c r="I1207" s="125" t="s">
        <v>414</v>
      </c>
      <c r="J1207" s="629" t="s">
        <v>2495</v>
      </c>
      <c r="K1207" s="108" t="s">
        <v>2940</v>
      </c>
      <c r="L1207" s="630" t="s">
        <v>14</v>
      </c>
      <c r="M1207" s="108" t="s">
        <v>2418</v>
      </c>
      <c r="N1207" s="651" t="s">
        <v>2453</v>
      </c>
      <c r="O1207" s="205" t="s">
        <v>2499</v>
      </c>
    </row>
    <row r="1208" spans="1:15" ht="15.75" thickBot="1" x14ac:dyDescent="0.3">
      <c r="A1208" s="418" t="s">
        <v>2414</v>
      </c>
      <c r="B1208" s="238" t="s">
        <v>2416</v>
      </c>
      <c r="C1208" s="252" t="s">
        <v>542</v>
      </c>
      <c r="D1208" s="532">
        <v>51.87</v>
      </c>
      <c r="E1208" s="532">
        <v>-1.9</v>
      </c>
      <c r="F1208" s="116">
        <f t="shared" si="42"/>
        <v>3541</v>
      </c>
      <c r="G1208" s="539">
        <v>3891</v>
      </c>
      <c r="H1208" s="115">
        <v>3191</v>
      </c>
      <c r="I1208" s="182" t="s">
        <v>48</v>
      </c>
      <c r="J1208" s="629" t="s">
        <v>2495</v>
      </c>
      <c r="K1208" s="108" t="s">
        <v>2940</v>
      </c>
      <c r="L1208" s="630" t="s">
        <v>14</v>
      </c>
      <c r="M1208" s="108" t="s">
        <v>2419</v>
      </c>
      <c r="N1208" s="651" t="s">
        <v>2454</v>
      </c>
      <c r="O1208" s="205" t="s">
        <v>2499</v>
      </c>
    </row>
    <row r="1209" spans="1:15" x14ac:dyDescent="0.25">
      <c r="A1209" s="418" t="s">
        <v>2414</v>
      </c>
      <c r="B1209" s="238" t="s">
        <v>2416</v>
      </c>
      <c r="C1209" s="252" t="s">
        <v>542</v>
      </c>
      <c r="D1209" s="532">
        <v>51.87</v>
      </c>
      <c r="E1209" s="532">
        <v>-1.9</v>
      </c>
      <c r="F1209" s="116">
        <f t="shared" si="42"/>
        <v>3506</v>
      </c>
      <c r="G1209" s="27">
        <v>3632</v>
      </c>
      <c r="H1209" s="115">
        <v>3380</v>
      </c>
      <c r="I1209" s="125" t="s">
        <v>82</v>
      </c>
      <c r="J1209" s="629" t="s">
        <v>2495</v>
      </c>
      <c r="K1209" s="108" t="s">
        <v>2940</v>
      </c>
      <c r="L1209" s="630" t="s">
        <v>14</v>
      </c>
      <c r="M1209" s="108" t="s">
        <v>2420</v>
      </c>
      <c r="N1209" s="651" t="s">
        <v>2455</v>
      </c>
      <c r="O1209" s="205"/>
    </row>
    <row r="1210" spans="1:15" x14ac:dyDescent="0.25">
      <c r="A1210" s="418" t="s">
        <v>2414</v>
      </c>
      <c r="B1210" s="238" t="s">
        <v>2416</v>
      </c>
      <c r="C1210" s="252" t="s">
        <v>542</v>
      </c>
      <c r="D1210" s="532">
        <v>51.87</v>
      </c>
      <c r="E1210" s="532">
        <v>-1.9</v>
      </c>
      <c r="F1210" s="116">
        <f t="shared" si="42"/>
        <v>3541</v>
      </c>
      <c r="G1210" s="539">
        <v>3891</v>
      </c>
      <c r="H1210" s="115">
        <v>3191</v>
      </c>
      <c r="I1210" s="125" t="s">
        <v>2487</v>
      </c>
      <c r="J1210" s="631" t="s">
        <v>69</v>
      </c>
      <c r="K1210" s="108" t="s">
        <v>2940</v>
      </c>
      <c r="L1210" s="632" t="s">
        <v>2</v>
      </c>
      <c r="M1210" s="633" t="s">
        <v>2421</v>
      </c>
      <c r="N1210" s="651" t="s">
        <v>2456</v>
      </c>
      <c r="O1210" s="205" t="s">
        <v>2499</v>
      </c>
    </row>
    <row r="1211" spans="1:15" ht="15.75" thickBot="1" x14ac:dyDescent="0.3">
      <c r="A1211" s="418" t="s">
        <v>2414</v>
      </c>
      <c r="B1211" s="238" t="s">
        <v>2416</v>
      </c>
      <c r="C1211" s="252" t="s">
        <v>542</v>
      </c>
      <c r="D1211" s="532">
        <v>51.87</v>
      </c>
      <c r="E1211" s="532">
        <v>-1.9</v>
      </c>
      <c r="F1211" s="116">
        <f t="shared" si="42"/>
        <v>3541</v>
      </c>
      <c r="G1211" s="539">
        <v>3891</v>
      </c>
      <c r="H1211" s="115">
        <v>3191</v>
      </c>
      <c r="I1211" s="125" t="s">
        <v>2488</v>
      </c>
      <c r="J1211" s="634" t="s">
        <v>2496</v>
      </c>
      <c r="K1211" s="108" t="s">
        <v>2940</v>
      </c>
      <c r="L1211" s="632" t="s">
        <v>14</v>
      </c>
      <c r="M1211" s="633" t="s">
        <v>2422</v>
      </c>
      <c r="N1211" s="651" t="s">
        <v>2457</v>
      </c>
      <c r="O1211" s="205" t="s">
        <v>2499</v>
      </c>
    </row>
    <row r="1212" spans="1:15" ht="15.75" thickBot="1" x14ac:dyDescent="0.3">
      <c r="A1212" s="418" t="s">
        <v>2414</v>
      </c>
      <c r="B1212" s="238" t="s">
        <v>2416</v>
      </c>
      <c r="C1212" s="252" t="s">
        <v>542</v>
      </c>
      <c r="D1212" s="532">
        <v>51.87</v>
      </c>
      <c r="E1212" s="532">
        <v>-1.9</v>
      </c>
      <c r="F1212" s="116">
        <f t="shared" si="42"/>
        <v>3541</v>
      </c>
      <c r="G1212" s="539">
        <v>3891</v>
      </c>
      <c r="H1212" s="115">
        <v>3191</v>
      </c>
      <c r="I1212" s="182" t="s">
        <v>2489</v>
      </c>
      <c r="J1212" s="629" t="s">
        <v>2497</v>
      </c>
      <c r="K1212" s="108" t="s">
        <v>2940</v>
      </c>
      <c r="L1212" s="630" t="s">
        <v>14</v>
      </c>
      <c r="M1212" s="108" t="s">
        <v>2423</v>
      </c>
      <c r="N1212" s="651" t="s">
        <v>2458</v>
      </c>
      <c r="O1212" s="205" t="s">
        <v>2499</v>
      </c>
    </row>
    <row r="1213" spans="1:15" x14ac:dyDescent="0.25">
      <c r="A1213" s="418" t="s">
        <v>2414</v>
      </c>
      <c r="B1213" s="238" t="s">
        <v>2416</v>
      </c>
      <c r="C1213" s="252" t="s">
        <v>542</v>
      </c>
      <c r="D1213" s="532">
        <v>51.87</v>
      </c>
      <c r="E1213" s="532">
        <v>-1.9</v>
      </c>
      <c r="F1213" s="116">
        <f t="shared" si="42"/>
        <v>3541</v>
      </c>
      <c r="G1213" s="539">
        <v>3891</v>
      </c>
      <c r="H1213" s="115">
        <v>3191</v>
      </c>
      <c r="I1213" s="125" t="s">
        <v>835</v>
      </c>
      <c r="J1213" s="629" t="s">
        <v>2495</v>
      </c>
      <c r="K1213" s="108" t="s">
        <v>2940</v>
      </c>
      <c r="L1213" s="630" t="s">
        <v>14</v>
      </c>
      <c r="M1213" s="108" t="s">
        <v>2424</v>
      </c>
      <c r="N1213" s="651" t="s">
        <v>2459</v>
      </c>
      <c r="O1213" s="205" t="s">
        <v>2499</v>
      </c>
    </row>
    <row r="1214" spans="1:15" x14ac:dyDescent="0.25">
      <c r="A1214" s="418" t="s">
        <v>2414</v>
      </c>
      <c r="B1214" s="238" t="s">
        <v>2416</v>
      </c>
      <c r="C1214" s="252" t="s">
        <v>542</v>
      </c>
      <c r="D1214" s="532">
        <v>51.87</v>
      </c>
      <c r="E1214" s="532">
        <v>-1.9</v>
      </c>
      <c r="F1214" s="116">
        <f t="shared" si="42"/>
        <v>3499</v>
      </c>
      <c r="G1214" s="27">
        <v>3624</v>
      </c>
      <c r="H1214" s="115">
        <v>3374</v>
      </c>
      <c r="I1214" s="125" t="s">
        <v>2490</v>
      </c>
      <c r="J1214" s="629" t="s">
        <v>2495</v>
      </c>
      <c r="K1214" s="108" t="s">
        <v>2940</v>
      </c>
      <c r="L1214" s="630" t="s">
        <v>14</v>
      </c>
      <c r="M1214" s="108" t="s">
        <v>2425</v>
      </c>
      <c r="N1214" s="651" t="s">
        <v>2460</v>
      </c>
      <c r="O1214" s="205"/>
    </row>
    <row r="1215" spans="1:15" x14ac:dyDescent="0.25">
      <c r="A1215" s="418" t="s">
        <v>2414</v>
      </c>
      <c r="B1215" s="238" t="s">
        <v>2416</v>
      </c>
      <c r="C1215" s="252" t="s">
        <v>542</v>
      </c>
      <c r="D1215" s="532">
        <v>51.87</v>
      </c>
      <c r="E1215" s="532">
        <v>-1.9</v>
      </c>
      <c r="F1215" s="116">
        <f t="shared" si="42"/>
        <v>3645.5</v>
      </c>
      <c r="G1215" s="27">
        <v>3765</v>
      </c>
      <c r="H1215" s="115">
        <v>3526</v>
      </c>
      <c r="I1215" s="125" t="s">
        <v>559</v>
      </c>
      <c r="J1215" s="629" t="s">
        <v>2495</v>
      </c>
      <c r="K1215" s="108" t="s">
        <v>2940</v>
      </c>
      <c r="L1215" s="630" t="s">
        <v>14</v>
      </c>
      <c r="M1215" s="108" t="s">
        <v>2426</v>
      </c>
      <c r="N1215" s="651" t="s">
        <v>2461</v>
      </c>
      <c r="O1215" s="205"/>
    </row>
    <row r="1216" spans="1:15" x14ac:dyDescent="0.25">
      <c r="A1216" s="418" t="s">
        <v>2414</v>
      </c>
      <c r="B1216" s="238" t="s">
        <v>2416</v>
      </c>
      <c r="C1216" s="252" t="s">
        <v>542</v>
      </c>
      <c r="D1216" s="532">
        <v>51.87</v>
      </c>
      <c r="E1216" s="532">
        <v>-1.9</v>
      </c>
      <c r="F1216" s="116">
        <f t="shared" si="42"/>
        <v>3541</v>
      </c>
      <c r="G1216" s="539">
        <v>3891</v>
      </c>
      <c r="H1216" s="115">
        <v>3191</v>
      </c>
      <c r="I1216" s="125" t="s">
        <v>519</v>
      </c>
      <c r="J1216" s="634" t="s">
        <v>2495</v>
      </c>
      <c r="K1216" s="108" t="s">
        <v>2940</v>
      </c>
      <c r="L1216" s="632" t="s">
        <v>14</v>
      </c>
      <c r="M1216" s="633" t="s">
        <v>2427</v>
      </c>
      <c r="N1216" s="651" t="s">
        <v>2462</v>
      </c>
      <c r="O1216" s="205" t="s">
        <v>2499</v>
      </c>
    </row>
    <row r="1217" spans="1:15" x14ac:dyDescent="0.25">
      <c r="A1217" s="418" t="s">
        <v>2414</v>
      </c>
      <c r="B1217" s="238" t="s">
        <v>2416</v>
      </c>
      <c r="C1217" s="252" t="s">
        <v>542</v>
      </c>
      <c r="D1217" s="532">
        <v>51.87</v>
      </c>
      <c r="E1217" s="532">
        <v>-1.9</v>
      </c>
      <c r="F1217" s="116">
        <f t="shared" si="42"/>
        <v>3584</v>
      </c>
      <c r="G1217" s="27">
        <v>3640</v>
      </c>
      <c r="H1217" s="115">
        <v>3528</v>
      </c>
      <c r="I1217" s="125" t="s">
        <v>519</v>
      </c>
      <c r="J1217" s="629" t="s">
        <v>2495</v>
      </c>
      <c r="K1217" s="108" t="s">
        <v>2940</v>
      </c>
      <c r="L1217" s="630" t="s">
        <v>14</v>
      </c>
      <c r="M1217" s="108" t="s">
        <v>2428</v>
      </c>
      <c r="N1217" s="651" t="s">
        <v>2463</v>
      </c>
      <c r="O1217" s="205"/>
    </row>
    <row r="1218" spans="1:15" ht="15.75" thickBot="1" x14ac:dyDescent="0.3">
      <c r="A1218" s="418" t="s">
        <v>2414</v>
      </c>
      <c r="B1218" s="238" t="s">
        <v>2416</v>
      </c>
      <c r="C1218" s="252" t="s">
        <v>542</v>
      </c>
      <c r="D1218" s="532">
        <v>51.87</v>
      </c>
      <c r="E1218" s="532">
        <v>-1.9</v>
      </c>
      <c r="F1218" s="116">
        <f t="shared" si="42"/>
        <v>3541</v>
      </c>
      <c r="G1218" s="539">
        <v>3891</v>
      </c>
      <c r="H1218" s="115">
        <v>3191</v>
      </c>
      <c r="I1218" s="125" t="s">
        <v>566</v>
      </c>
      <c r="J1218" s="629" t="s">
        <v>2495</v>
      </c>
      <c r="K1218" s="108" t="s">
        <v>2940</v>
      </c>
      <c r="L1218" s="630" t="s">
        <v>14</v>
      </c>
      <c r="M1218" s="108" t="s">
        <v>2429</v>
      </c>
      <c r="N1218" s="651" t="s">
        <v>2464</v>
      </c>
      <c r="O1218" s="205" t="s">
        <v>2499</v>
      </c>
    </row>
    <row r="1219" spans="1:15" ht="15.75" thickBot="1" x14ac:dyDescent="0.3">
      <c r="A1219" s="418" t="s">
        <v>2414</v>
      </c>
      <c r="B1219" s="238" t="s">
        <v>2416</v>
      </c>
      <c r="C1219" s="252" t="s">
        <v>542</v>
      </c>
      <c r="D1219" s="532">
        <v>51.87</v>
      </c>
      <c r="E1219" s="532">
        <v>-1.9</v>
      </c>
      <c r="F1219" s="116">
        <f t="shared" si="42"/>
        <v>3541</v>
      </c>
      <c r="G1219" s="539">
        <v>3891</v>
      </c>
      <c r="H1219" s="115">
        <v>3191</v>
      </c>
      <c r="I1219" s="182" t="s">
        <v>2489</v>
      </c>
      <c r="J1219" s="631" t="s">
        <v>69</v>
      </c>
      <c r="K1219" s="108" t="s">
        <v>2940</v>
      </c>
      <c r="L1219" s="630" t="s">
        <v>2</v>
      </c>
      <c r="M1219" s="108" t="s">
        <v>2430</v>
      </c>
      <c r="N1219" s="651" t="s">
        <v>2465</v>
      </c>
      <c r="O1219" s="205" t="s">
        <v>2499</v>
      </c>
    </row>
    <row r="1220" spans="1:15" ht="15.75" thickBot="1" x14ac:dyDescent="0.3">
      <c r="A1220" s="418" t="s">
        <v>2414</v>
      </c>
      <c r="B1220" s="238" t="s">
        <v>2416</v>
      </c>
      <c r="C1220" s="252" t="s">
        <v>542</v>
      </c>
      <c r="D1220" s="532">
        <v>51.87</v>
      </c>
      <c r="E1220" s="532">
        <v>-1.9</v>
      </c>
      <c r="F1220" s="116">
        <f t="shared" si="42"/>
        <v>3541</v>
      </c>
      <c r="G1220" s="539">
        <v>3891</v>
      </c>
      <c r="H1220" s="115">
        <v>3191</v>
      </c>
      <c r="I1220" s="182" t="s">
        <v>2491</v>
      </c>
      <c r="J1220" s="629" t="s">
        <v>2495</v>
      </c>
      <c r="K1220" s="108" t="s">
        <v>2940</v>
      </c>
      <c r="L1220" s="632" t="s">
        <v>14</v>
      </c>
      <c r="M1220" s="633" t="s">
        <v>2431</v>
      </c>
      <c r="N1220" s="651" t="s">
        <v>2466</v>
      </c>
      <c r="O1220" s="205" t="s">
        <v>2499</v>
      </c>
    </row>
    <row r="1221" spans="1:15" ht="15.75" thickBot="1" x14ac:dyDescent="0.3">
      <c r="A1221" s="418" t="s">
        <v>2414</v>
      </c>
      <c r="B1221" s="238" t="s">
        <v>2416</v>
      </c>
      <c r="C1221" s="252" t="s">
        <v>542</v>
      </c>
      <c r="D1221" s="532">
        <v>51.87</v>
      </c>
      <c r="E1221" s="532">
        <v>-1.9</v>
      </c>
      <c r="F1221" s="116">
        <f t="shared" si="42"/>
        <v>3541</v>
      </c>
      <c r="G1221" s="539">
        <v>3891</v>
      </c>
      <c r="H1221" s="115">
        <v>3191</v>
      </c>
      <c r="I1221" s="182" t="s">
        <v>2491</v>
      </c>
      <c r="J1221" s="629" t="s">
        <v>2495</v>
      </c>
      <c r="K1221" s="108" t="s">
        <v>2940</v>
      </c>
      <c r="L1221" s="630" t="s">
        <v>14</v>
      </c>
      <c r="M1221" s="108" t="s">
        <v>2432</v>
      </c>
      <c r="N1221" s="651" t="s">
        <v>2467</v>
      </c>
      <c r="O1221" s="205" t="s">
        <v>2499</v>
      </c>
    </row>
    <row r="1222" spans="1:15" ht="15.75" thickBot="1" x14ac:dyDescent="0.3">
      <c r="A1222" s="418" t="s">
        <v>2414</v>
      </c>
      <c r="B1222" s="238" t="s">
        <v>2416</v>
      </c>
      <c r="C1222" s="252" t="s">
        <v>542</v>
      </c>
      <c r="D1222" s="532">
        <v>51.87</v>
      </c>
      <c r="E1222" s="532">
        <v>-1.9</v>
      </c>
      <c r="F1222" s="116">
        <f t="shared" si="42"/>
        <v>3541</v>
      </c>
      <c r="G1222" s="539">
        <v>3891</v>
      </c>
      <c r="H1222" s="115">
        <v>3191</v>
      </c>
      <c r="I1222" s="182" t="s">
        <v>2491</v>
      </c>
      <c r="J1222" s="631" t="s">
        <v>69</v>
      </c>
      <c r="K1222" s="108" t="s">
        <v>2940</v>
      </c>
      <c r="L1222" s="632" t="s">
        <v>2</v>
      </c>
      <c r="M1222" s="633" t="s">
        <v>2433</v>
      </c>
      <c r="N1222" s="651" t="s">
        <v>2468</v>
      </c>
      <c r="O1222" s="205" t="s">
        <v>2499</v>
      </c>
    </row>
    <row r="1223" spans="1:15" ht="15.75" thickBot="1" x14ac:dyDescent="0.3">
      <c r="A1223" s="418" t="s">
        <v>2414</v>
      </c>
      <c r="B1223" s="238" t="s">
        <v>2416</v>
      </c>
      <c r="C1223" s="252" t="s">
        <v>542</v>
      </c>
      <c r="D1223" s="532">
        <v>51.87</v>
      </c>
      <c r="E1223" s="532">
        <v>-1.9</v>
      </c>
      <c r="F1223" s="116">
        <f t="shared" si="42"/>
        <v>3541</v>
      </c>
      <c r="G1223" s="539">
        <v>3891</v>
      </c>
      <c r="H1223" s="115">
        <v>3191</v>
      </c>
      <c r="I1223" s="125" t="s">
        <v>952</v>
      </c>
      <c r="J1223" s="629" t="s">
        <v>2495</v>
      </c>
      <c r="K1223" s="108" t="s">
        <v>2940</v>
      </c>
      <c r="L1223" s="632" t="s">
        <v>14</v>
      </c>
      <c r="M1223" s="633" t="s">
        <v>2434</v>
      </c>
      <c r="N1223" s="651" t="s">
        <v>2469</v>
      </c>
      <c r="O1223" s="205" t="s">
        <v>2499</v>
      </c>
    </row>
    <row r="1224" spans="1:15" ht="15.75" thickBot="1" x14ac:dyDescent="0.3">
      <c r="A1224" s="418" t="s">
        <v>2414</v>
      </c>
      <c r="B1224" s="238" t="s">
        <v>2416</v>
      </c>
      <c r="C1224" s="252" t="s">
        <v>542</v>
      </c>
      <c r="D1224" s="532">
        <v>51.87</v>
      </c>
      <c r="E1224" s="532">
        <v>-1.9</v>
      </c>
      <c r="F1224" s="116">
        <f t="shared" si="42"/>
        <v>3541</v>
      </c>
      <c r="G1224" s="539">
        <v>3891</v>
      </c>
      <c r="H1224" s="115">
        <v>3191</v>
      </c>
      <c r="I1224" s="182" t="s">
        <v>430</v>
      </c>
      <c r="J1224" s="631" t="s">
        <v>69</v>
      </c>
      <c r="K1224" s="108" t="s">
        <v>2940</v>
      </c>
      <c r="L1224" s="630" t="s">
        <v>2</v>
      </c>
      <c r="M1224" s="108" t="s">
        <v>2435</v>
      </c>
      <c r="N1224" s="651" t="s">
        <v>2470</v>
      </c>
      <c r="O1224" s="205" t="s">
        <v>2499</v>
      </c>
    </row>
    <row r="1225" spans="1:15" ht="15.75" thickBot="1" x14ac:dyDescent="0.3">
      <c r="A1225" s="418" t="s">
        <v>2414</v>
      </c>
      <c r="B1225" s="238" t="s">
        <v>2416</v>
      </c>
      <c r="C1225" s="252" t="s">
        <v>542</v>
      </c>
      <c r="D1225" s="532">
        <v>51.87</v>
      </c>
      <c r="E1225" s="532">
        <v>-1.9</v>
      </c>
      <c r="F1225" s="116">
        <f t="shared" si="42"/>
        <v>3693.5</v>
      </c>
      <c r="G1225" s="387">
        <v>3751</v>
      </c>
      <c r="H1225" s="115">
        <v>3636</v>
      </c>
      <c r="I1225" s="182" t="s">
        <v>2492</v>
      </c>
      <c r="J1225" s="631" t="s">
        <v>69</v>
      </c>
      <c r="K1225" s="108" t="s">
        <v>2940</v>
      </c>
      <c r="L1225" s="630" t="s">
        <v>2</v>
      </c>
      <c r="M1225" s="108" t="s">
        <v>2436</v>
      </c>
      <c r="N1225" s="651" t="s">
        <v>2471</v>
      </c>
      <c r="O1225" s="205" t="s">
        <v>972</v>
      </c>
    </row>
    <row r="1226" spans="1:15" ht="15.75" thickBot="1" x14ac:dyDescent="0.3">
      <c r="A1226" s="418" t="s">
        <v>2414</v>
      </c>
      <c r="B1226" s="238" t="s">
        <v>2416</v>
      </c>
      <c r="C1226" s="252" t="s">
        <v>542</v>
      </c>
      <c r="D1226" s="532">
        <v>51.87</v>
      </c>
      <c r="E1226" s="532">
        <v>-1.9</v>
      </c>
      <c r="F1226" s="116">
        <f t="shared" si="42"/>
        <v>3506</v>
      </c>
      <c r="G1226" s="387">
        <v>3632</v>
      </c>
      <c r="H1226" s="115">
        <v>3380</v>
      </c>
      <c r="I1226" s="125" t="s">
        <v>2490</v>
      </c>
      <c r="J1226" s="631" t="s">
        <v>69</v>
      </c>
      <c r="K1226" s="108" t="s">
        <v>2940</v>
      </c>
      <c r="L1226" s="630" t="s">
        <v>2</v>
      </c>
      <c r="M1226" s="108" t="s">
        <v>2437</v>
      </c>
      <c r="N1226" s="651" t="s">
        <v>2472</v>
      </c>
      <c r="O1226" s="205"/>
    </row>
    <row r="1227" spans="1:15" ht="15.75" thickBot="1" x14ac:dyDescent="0.3">
      <c r="A1227" s="418" t="s">
        <v>2414</v>
      </c>
      <c r="B1227" s="238" t="s">
        <v>2416</v>
      </c>
      <c r="C1227" s="252" t="s">
        <v>542</v>
      </c>
      <c r="D1227" s="532">
        <v>51.87</v>
      </c>
      <c r="E1227" s="532">
        <v>-1.9</v>
      </c>
      <c r="F1227" s="116">
        <f t="shared" si="42"/>
        <v>3516.5</v>
      </c>
      <c r="G1227" s="539">
        <v>3653</v>
      </c>
      <c r="H1227" s="115">
        <v>3380</v>
      </c>
      <c r="I1227" s="182" t="s">
        <v>352</v>
      </c>
      <c r="J1227" s="629" t="s">
        <v>2495</v>
      </c>
      <c r="K1227" s="108" t="s">
        <v>2940</v>
      </c>
      <c r="L1227" s="630" t="s">
        <v>14</v>
      </c>
      <c r="M1227" s="108" t="s">
        <v>2438</v>
      </c>
      <c r="N1227" s="651" t="s">
        <v>2473</v>
      </c>
      <c r="O1227" s="205"/>
    </row>
    <row r="1228" spans="1:15" ht="15.75" thickBot="1" x14ac:dyDescent="0.3">
      <c r="A1228" s="418" t="s">
        <v>2414</v>
      </c>
      <c r="B1228" s="238" t="s">
        <v>2416</v>
      </c>
      <c r="C1228" s="252" t="s">
        <v>542</v>
      </c>
      <c r="D1228" s="532">
        <v>51.87</v>
      </c>
      <c r="E1228" s="532">
        <v>-1.9</v>
      </c>
      <c r="F1228" s="116">
        <f t="shared" si="42"/>
        <v>3352.5</v>
      </c>
      <c r="G1228" s="112">
        <v>3514</v>
      </c>
      <c r="H1228" s="115">
        <v>3191</v>
      </c>
      <c r="I1228" s="125" t="s">
        <v>10</v>
      </c>
      <c r="J1228" s="629" t="s">
        <v>2495</v>
      </c>
      <c r="K1228" s="108" t="s">
        <v>2940</v>
      </c>
      <c r="L1228" s="630" t="s">
        <v>14</v>
      </c>
      <c r="M1228" s="108" t="s">
        <v>2439</v>
      </c>
      <c r="N1228" s="651" t="s">
        <v>2474</v>
      </c>
      <c r="O1228" s="205"/>
    </row>
    <row r="1229" spans="1:15" ht="15.75" thickBot="1" x14ac:dyDescent="0.3">
      <c r="A1229" s="418" t="s">
        <v>2414</v>
      </c>
      <c r="B1229" s="238" t="s">
        <v>2416</v>
      </c>
      <c r="C1229" s="252" t="s">
        <v>542</v>
      </c>
      <c r="D1229" s="532">
        <v>51.87</v>
      </c>
      <c r="E1229" s="532">
        <v>-1.9</v>
      </c>
      <c r="F1229" s="116">
        <f t="shared" si="42"/>
        <v>3642.5</v>
      </c>
      <c r="G1229" s="539">
        <v>3764</v>
      </c>
      <c r="H1229" s="115">
        <v>3521</v>
      </c>
      <c r="I1229" s="182" t="s">
        <v>985</v>
      </c>
      <c r="J1229" s="629" t="s">
        <v>2495</v>
      </c>
      <c r="K1229" s="108" t="s">
        <v>2940</v>
      </c>
      <c r="L1229" s="630" t="s">
        <v>14</v>
      </c>
      <c r="M1229" s="108" t="s">
        <v>2440</v>
      </c>
      <c r="N1229" s="651" t="s">
        <v>2475</v>
      </c>
      <c r="O1229" s="205"/>
    </row>
    <row r="1230" spans="1:15" ht="15.75" thickBot="1" x14ac:dyDescent="0.3">
      <c r="A1230" s="418" t="s">
        <v>2414</v>
      </c>
      <c r="B1230" s="238" t="s">
        <v>2416</v>
      </c>
      <c r="C1230" s="252" t="s">
        <v>542</v>
      </c>
      <c r="D1230" s="532">
        <v>51.87</v>
      </c>
      <c r="E1230" s="532">
        <v>-1.9</v>
      </c>
      <c r="F1230" s="116">
        <f t="shared" ref="F1230:F1240" si="43">AVERAGE(G1230:H1230)</f>
        <v>3636.5</v>
      </c>
      <c r="G1230" s="539">
        <v>3891</v>
      </c>
      <c r="H1230" s="115">
        <v>3382</v>
      </c>
      <c r="I1230" s="182" t="s">
        <v>985</v>
      </c>
      <c r="J1230" s="629" t="s">
        <v>2495</v>
      </c>
      <c r="K1230" s="108" t="s">
        <v>2940</v>
      </c>
      <c r="L1230" s="630" t="s">
        <v>14</v>
      </c>
      <c r="M1230" s="108" t="s">
        <v>2441</v>
      </c>
      <c r="N1230" s="651" t="s">
        <v>2476</v>
      </c>
      <c r="O1230" s="205"/>
    </row>
    <row r="1231" spans="1:15" ht="15.75" thickBot="1" x14ac:dyDescent="0.3">
      <c r="A1231" s="418" t="s">
        <v>2414</v>
      </c>
      <c r="B1231" s="238" t="s">
        <v>2416</v>
      </c>
      <c r="C1231" s="252" t="s">
        <v>542</v>
      </c>
      <c r="D1231" s="532">
        <v>51.87</v>
      </c>
      <c r="E1231" s="532">
        <v>-1.9</v>
      </c>
      <c r="F1231" s="116">
        <f t="shared" si="43"/>
        <v>3650.5</v>
      </c>
      <c r="G1231" s="539">
        <v>3761</v>
      </c>
      <c r="H1231" s="115">
        <v>3540</v>
      </c>
      <c r="I1231" s="123" t="s">
        <v>81</v>
      </c>
      <c r="J1231" s="634" t="s">
        <v>2498</v>
      </c>
      <c r="K1231" s="108" t="s">
        <v>2940</v>
      </c>
      <c r="L1231" s="630" t="s">
        <v>14</v>
      </c>
      <c r="M1231" s="108" t="s">
        <v>2442</v>
      </c>
      <c r="N1231" s="651" t="s">
        <v>2477</v>
      </c>
      <c r="O1231" s="205"/>
    </row>
    <row r="1232" spans="1:15" ht="15.75" thickBot="1" x14ac:dyDescent="0.3">
      <c r="A1232" s="418" t="s">
        <v>2414</v>
      </c>
      <c r="B1232" s="238" t="s">
        <v>2416</v>
      </c>
      <c r="C1232" s="252" t="s">
        <v>542</v>
      </c>
      <c r="D1232" s="532">
        <v>51.87</v>
      </c>
      <c r="E1232" s="532">
        <v>-1.9</v>
      </c>
      <c r="F1232" s="116">
        <f t="shared" si="43"/>
        <v>3541</v>
      </c>
      <c r="G1232" s="539">
        <v>3891</v>
      </c>
      <c r="H1232" s="115">
        <v>3191</v>
      </c>
      <c r="I1232" s="182" t="s">
        <v>48</v>
      </c>
      <c r="J1232" s="629" t="s">
        <v>2495</v>
      </c>
      <c r="K1232" s="108" t="s">
        <v>2940</v>
      </c>
      <c r="L1232" s="630" t="s">
        <v>14</v>
      </c>
      <c r="M1232" s="108" t="s">
        <v>2443</v>
      </c>
      <c r="N1232" s="651" t="s">
        <v>2478</v>
      </c>
      <c r="O1232" s="205" t="s">
        <v>2499</v>
      </c>
    </row>
    <row r="1233" spans="1:15" ht="15.75" thickBot="1" x14ac:dyDescent="0.3">
      <c r="A1233" s="418" t="s">
        <v>2414</v>
      </c>
      <c r="B1233" s="238" t="s">
        <v>2416</v>
      </c>
      <c r="C1233" s="252" t="s">
        <v>542</v>
      </c>
      <c r="D1233" s="532">
        <v>51.87</v>
      </c>
      <c r="E1233" s="532">
        <v>-1.9</v>
      </c>
      <c r="F1233" s="116">
        <f t="shared" si="43"/>
        <v>3541</v>
      </c>
      <c r="G1233" s="539">
        <v>3891</v>
      </c>
      <c r="H1233" s="115">
        <v>3191</v>
      </c>
      <c r="I1233" s="182" t="s">
        <v>48</v>
      </c>
      <c r="J1233" s="629" t="s">
        <v>2495</v>
      </c>
      <c r="K1233" s="108" t="s">
        <v>2940</v>
      </c>
      <c r="L1233" s="632" t="s">
        <v>14</v>
      </c>
      <c r="M1233" s="633" t="s">
        <v>2444</v>
      </c>
      <c r="N1233" s="651" t="s">
        <v>2479</v>
      </c>
      <c r="O1233" s="205" t="s">
        <v>2499</v>
      </c>
    </row>
    <row r="1234" spans="1:15" ht="15.75" thickBot="1" x14ac:dyDescent="0.3">
      <c r="A1234" s="418" t="s">
        <v>2414</v>
      </c>
      <c r="B1234" s="238" t="s">
        <v>2416</v>
      </c>
      <c r="C1234" s="252" t="s">
        <v>542</v>
      </c>
      <c r="D1234" s="532">
        <v>51.87</v>
      </c>
      <c r="E1234" s="532">
        <v>-1.9</v>
      </c>
      <c r="F1234" s="116">
        <f t="shared" si="43"/>
        <v>3541</v>
      </c>
      <c r="G1234" s="539">
        <v>3891</v>
      </c>
      <c r="H1234" s="115">
        <v>3191</v>
      </c>
      <c r="I1234" s="182" t="s">
        <v>48</v>
      </c>
      <c r="J1234" s="631" t="s">
        <v>69</v>
      </c>
      <c r="K1234" s="108" t="s">
        <v>2940</v>
      </c>
      <c r="L1234" s="630" t="s">
        <v>2</v>
      </c>
      <c r="M1234" s="108" t="s">
        <v>2445</v>
      </c>
      <c r="N1234" s="651" t="s">
        <v>2480</v>
      </c>
      <c r="O1234" s="205" t="s">
        <v>2499</v>
      </c>
    </row>
    <row r="1235" spans="1:15" x14ac:dyDescent="0.25">
      <c r="A1235" s="418" t="s">
        <v>2414</v>
      </c>
      <c r="B1235" s="238" t="s">
        <v>2416</v>
      </c>
      <c r="C1235" s="252" t="s">
        <v>542</v>
      </c>
      <c r="D1235" s="532">
        <v>51.87</v>
      </c>
      <c r="E1235" s="532">
        <v>-1.9</v>
      </c>
      <c r="F1235" s="116">
        <f t="shared" si="43"/>
        <v>3712</v>
      </c>
      <c r="G1235" s="539">
        <v>3774</v>
      </c>
      <c r="H1235" s="115">
        <v>3650</v>
      </c>
      <c r="I1235" s="125" t="s">
        <v>835</v>
      </c>
      <c r="J1235" s="629" t="s">
        <v>2495</v>
      </c>
      <c r="K1235" s="108" t="s">
        <v>2940</v>
      </c>
      <c r="L1235" s="630" t="s">
        <v>14</v>
      </c>
      <c r="M1235" s="108" t="s">
        <v>2446</v>
      </c>
      <c r="N1235" s="651" t="s">
        <v>2481</v>
      </c>
      <c r="O1235" s="205"/>
    </row>
    <row r="1236" spans="1:15" ht="15.75" thickBot="1" x14ac:dyDescent="0.3">
      <c r="A1236" s="418" t="s">
        <v>2414</v>
      </c>
      <c r="B1236" s="238" t="s">
        <v>2416</v>
      </c>
      <c r="C1236" s="252" t="s">
        <v>542</v>
      </c>
      <c r="D1236" s="532">
        <v>51.87</v>
      </c>
      <c r="E1236" s="532">
        <v>-1.9</v>
      </c>
      <c r="F1236" s="116">
        <f t="shared" si="43"/>
        <v>3784.5</v>
      </c>
      <c r="G1236" s="539">
        <v>3932</v>
      </c>
      <c r="H1236" s="115">
        <v>3637</v>
      </c>
      <c r="I1236" s="125" t="s">
        <v>414</v>
      </c>
      <c r="J1236" s="629" t="s">
        <v>2495</v>
      </c>
      <c r="K1236" s="108" t="s">
        <v>2940</v>
      </c>
      <c r="L1236" s="630" t="s">
        <v>14</v>
      </c>
      <c r="M1236" s="108" t="s">
        <v>2447</v>
      </c>
      <c r="N1236" s="651" t="s">
        <v>2482</v>
      </c>
      <c r="O1236" s="205"/>
    </row>
    <row r="1237" spans="1:15" ht="15.75" thickBot="1" x14ac:dyDescent="0.3">
      <c r="A1237" s="418" t="s">
        <v>2414</v>
      </c>
      <c r="B1237" s="238" t="s">
        <v>2416</v>
      </c>
      <c r="C1237" s="252" t="s">
        <v>542</v>
      </c>
      <c r="D1237" s="532">
        <v>51.87</v>
      </c>
      <c r="E1237" s="532">
        <v>-1.9</v>
      </c>
      <c r="F1237" s="116">
        <f t="shared" si="43"/>
        <v>3541</v>
      </c>
      <c r="G1237" s="539">
        <v>3891</v>
      </c>
      <c r="H1237" s="115">
        <v>3191</v>
      </c>
      <c r="I1237" s="183" t="s">
        <v>985</v>
      </c>
      <c r="J1237" s="631" t="s">
        <v>69</v>
      </c>
      <c r="K1237" s="108" t="s">
        <v>2940</v>
      </c>
      <c r="L1237" s="632" t="s">
        <v>2</v>
      </c>
      <c r="M1237" s="633" t="s">
        <v>2448</v>
      </c>
      <c r="N1237" s="651" t="s">
        <v>2483</v>
      </c>
      <c r="O1237" s="205" t="s">
        <v>2499</v>
      </c>
    </row>
    <row r="1238" spans="1:15" x14ac:dyDescent="0.25">
      <c r="A1238" s="418" t="s">
        <v>2414</v>
      </c>
      <c r="B1238" s="238" t="s">
        <v>2416</v>
      </c>
      <c r="C1238" s="252" t="s">
        <v>542</v>
      </c>
      <c r="D1238" s="532">
        <v>51.87</v>
      </c>
      <c r="E1238" s="532">
        <v>-1.9</v>
      </c>
      <c r="F1238" s="116">
        <f t="shared" si="43"/>
        <v>3699</v>
      </c>
      <c r="G1238" s="539">
        <v>3761</v>
      </c>
      <c r="H1238" s="115">
        <v>3637</v>
      </c>
      <c r="I1238" s="125" t="s">
        <v>835</v>
      </c>
      <c r="J1238" s="631" t="s">
        <v>69</v>
      </c>
      <c r="K1238" s="108" t="s">
        <v>2940</v>
      </c>
      <c r="L1238" s="630" t="s">
        <v>2</v>
      </c>
      <c r="M1238" s="108" t="s">
        <v>2449</v>
      </c>
      <c r="N1238" s="651" t="s">
        <v>2484</v>
      </c>
      <c r="O1238" s="205"/>
    </row>
    <row r="1239" spans="1:15" x14ac:dyDescent="0.25">
      <c r="A1239" s="418" t="s">
        <v>2414</v>
      </c>
      <c r="B1239" s="238" t="s">
        <v>2416</v>
      </c>
      <c r="C1239" s="252" t="s">
        <v>542</v>
      </c>
      <c r="D1239" s="532">
        <v>51.87</v>
      </c>
      <c r="E1239" s="532">
        <v>-1.9</v>
      </c>
      <c r="F1239" s="116">
        <f t="shared" si="43"/>
        <v>3541</v>
      </c>
      <c r="G1239" s="539">
        <v>3891</v>
      </c>
      <c r="H1239" s="115">
        <v>3191</v>
      </c>
      <c r="I1239" s="125" t="s">
        <v>2493</v>
      </c>
      <c r="J1239" s="629" t="s">
        <v>2495</v>
      </c>
      <c r="K1239" s="108" t="s">
        <v>2940</v>
      </c>
      <c r="L1239" s="632" t="s">
        <v>14</v>
      </c>
      <c r="M1239" s="633" t="s">
        <v>2450</v>
      </c>
      <c r="N1239" s="651" t="s">
        <v>2485</v>
      </c>
      <c r="O1239" s="205" t="s">
        <v>2499</v>
      </c>
    </row>
    <row r="1240" spans="1:15" ht="15.75" thickBot="1" x14ac:dyDescent="0.3">
      <c r="A1240" s="418" t="s">
        <v>2414</v>
      </c>
      <c r="B1240" s="238" t="s">
        <v>2416</v>
      </c>
      <c r="C1240" s="252" t="s">
        <v>542</v>
      </c>
      <c r="D1240" s="532">
        <v>51.87</v>
      </c>
      <c r="E1240" s="532">
        <v>-1.9</v>
      </c>
      <c r="F1240" s="116">
        <f t="shared" si="43"/>
        <v>3541</v>
      </c>
      <c r="G1240" s="539">
        <v>3891</v>
      </c>
      <c r="H1240" s="115">
        <v>3191</v>
      </c>
      <c r="I1240" s="125" t="s">
        <v>2494</v>
      </c>
      <c r="J1240" s="629" t="s">
        <v>2495</v>
      </c>
      <c r="K1240" s="108" t="s">
        <v>2940</v>
      </c>
      <c r="L1240" s="630" t="s">
        <v>14</v>
      </c>
      <c r="M1240" s="108" t="s">
        <v>2451</v>
      </c>
      <c r="N1240" s="651" t="s">
        <v>2486</v>
      </c>
      <c r="O1240" s="205" t="s">
        <v>2499</v>
      </c>
    </row>
    <row r="1241" spans="1:15" ht="15.75" thickBot="1" x14ac:dyDescent="0.3">
      <c r="A1241" s="87" t="s">
        <v>2504</v>
      </c>
      <c r="B1241" s="238" t="s">
        <v>2561</v>
      </c>
      <c r="C1241" s="252" t="s">
        <v>543</v>
      </c>
      <c r="D1241" s="539">
        <v>58.734000000000002</v>
      </c>
      <c r="E1241" s="539">
        <v>-2.9369999999999998</v>
      </c>
      <c r="F1241" s="540">
        <v>2946.5</v>
      </c>
      <c r="G1241" s="539">
        <v>3011</v>
      </c>
      <c r="H1241" s="539">
        <v>2882</v>
      </c>
      <c r="I1241" s="221" t="s">
        <v>430</v>
      </c>
      <c r="J1241" s="598" t="s">
        <v>69</v>
      </c>
      <c r="K1241" s="108" t="s">
        <v>830</v>
      </c>
      <c r="L1241" s="539" t="s">
        <v>2</v>
      </c>
      <c r="M1241" s="600" t="s">
        <v>2563</v>
      </c>
      <c r="N1241" s="209" t="s">
        <v>2564</v>
      </c>
      <c r="O1241" s="205"/>
    </row>
    <row r="1242" spans="1:15" x14ac:dyDescent="0.25">
      <c r="A1242" s="87" t="s">
        <v>2504</v>
      </c>
      <c r="B1242" s="238" t="s">
        <v>2561</v>
      </c>
      <c r="C1242" s="252" t="s">
        <v>543</v>
      </c>
      <c r="D1242" s="539">
        <v>58.734000000000002</v>
      </c>
      <c r="E1242" s="539">
        <v>-2.9369999999999998</v>
      </c>
      <c r="F1242" s="540">
        <v>3129.5</v>
      </c>
      <c r="G1242" s="539">
        <v>3333</v>
      </c>
      <c r="H1242" s="539">
        <v>2926</v>
      </c>
      <c r="I1242" s="132" t="s">
        <v>1192</v>
      </c>
      <c r="J1242" s="598" t="s">
        <v>2512</v>
      </c>
      <c r="K1242" s="108" t="s">
        <v>830</v>
      </c>
      <c r="L1242" s="539" t="s">
        <v>14</v>
      </c>
      <c r="M1242" s="600" t="s">
        <v>2565</v>
      </c>
      <c r="N1242" s="209" t="s">
        <v>2566</v>
      </c>
      <c r="O1242" s="205"/>
    </row>
    <row r="1243" spans="1:15" x14ac:dyDescent="0.25">
      <c r="A1243" s="87" t="s">
        <v>2504</v>
      </c>
      <c r="B1243" s="238" t="s">
        <v>2561</v>
      </c>
      <c r="C1243" s="252" t="s">
        <v>543</v>
      </c>
      <c r="D1243" s="539">
        <v>58.734000000000002</v>
      </c>
      <c r="E1243" s="539">
        <v>-2.9369999999999998</v>
      </c>
      <c r="F1243" s="540">
        <v>3131.5</v>
      </c>
      <c r="G1243" s="539">
        <v>3334</v>
      </c>
      <c r="H1243" s="539">
        <v>2929</v>
      </c>
      <c r="I1243" s="132" t="s">
        <v>559</v>
      </c>
      <c r="J1243" s="598" t="s">
        <v>2512</v>
      </c>
      <c r="K1243" s="108" t="s">
        <v>830</v>
      </c>
      <c r="L1243" s="539" t="s">
        <v>14</v>
      </c>
      <c r="M1243" s="600" t="s">
        <v>2567</v>
      </c>
      <c r="N1243" s="209" t="s">
        <v>2568</v>
      </c>
      <c r="O1243" s="205"/>
    </row>
    <row r="1244" spans="1:15" x14ac:dyDescent="0.25">
      <c r="A1244" s="87" t="s">
        <v>2504</v>
      </c>
      <c r="B1244" s="238" t="s">
        <v>2561</v>
      </c>
      <c r="C1244" s="252" t="s">
        <v>543</v>
      </c>
      <c r="D1244" s="539">
        <v>58.734000000000002</v>
      </c>
      <c r="E1244" s="539">
        <v>-2.9369999999999998</v>
      </c>
      <c r="F1244" s="540">
        <v>3182</v>
      </c>
      <c r="G1244" s="539">
        <v>3341</v>
      </c>
      <c r="H1244" s="539">
        <v>3023</v>
      </c>
      <c r="I1244" s="132" t="s">
        <v>1192</v>
      </c>
      <c r="J1244" s="598" t="s">
        <v>2512</v>
      </c>
      <c r="K1244" s="108" t="s">
        <v>830</v>
      </c>
      <c r="L1244" s="539" t="s">
        <v>14</v>
      </c>
      <c r="M1244" s="600" t="s">
        <v>2569</v>
      </c>
      <c r="N1244" s="209" t="s">
        <v>2570</v>
      </c>
      <c r="O1244" s="205"/>
    </row>
    <row r="1245" spans="1:15" ht="15.75" thickBot="1" x14ac:dyDescent="0.3">
      <c r="A1245" s="87" t="s">
        <v>2504</v>
      </c>
      <c r="B1245" s="238" t="s">
        <v>2561</v>
      </c>
      <c r="C1245" s="252" t="s">
        <v>543</v>
      </c>
      <c r="D1245" s="539">
        <v>58.734000000000002</v>
      </c>
      <c r="E1245" s="539">
        <v>-2.9369999999999998</v>
      </c>
      <c r="F1245" s="540">
        <v>2947</v>
      </c>
      <c r="G1245" s="539">
        <v>3011</v>
      </c>
      <c r="H1245" s="539">
        <v>2883</v>
      </c>
      <c r="I1245" s="132" t="s">
        <v>2562</v>
      </c>
      <c r="J1245" s="598" t="s">
        <v>1063</v>
      </c>
      <c r="K1245" s="108" t="s">
        <v>830</v>
      </c>
      <c r="L1245" s="539" t="s">
        <v>14</v>
      </c>
      <c r="M1245" s="600" t="s">
        <v>2571</v>
      </c>
      <c r="N1245" s="209" t="s">
        <v>2572</v>
      </c>
      <c r="O1245" s="205"/>
    </row>
    <row r="1246" spans="1:15" ht="15.75" thickBot="1" x14ac:dyDescent="0.3">
      <c r="A1246" s="87" t="s">
        <v>2504</v>
      </c>
      <c r="B1246" s="238" t="s">
        <v>2561</v>
      </c>
      <c r="C1246" s="252" t="s">
        <v>543</v>
      </c>
      <c r="D1246" s="539">
        <v>58.734000000000002</v>
      </c>
      <c r="E1246" s="539">
        <v>-2.9369999999999998</v>
      </c>
      <c r="F1246" s="540">
        <v>2899.5</v>
      </c>
      <c r="G1246" s="539">
        <v>3011</v>
      </c>
      <c r="H1246" s="539">
        <v>2788</v>
      </c>
      <c r="I1246" s="221" t="s">
        <v>481</v>
      </c>
      <c r="J1246" s="598" t="s">
        <v>2512</v>
      </c>
      <c r="K1246" s="108" t="s">
        <v>830</v>
      </c>
      <c r="L1246" s="539" t="s">
        <v>14</v>
      </c>
      <c r="M1246" s="600" t="s">
        <v>2589</v>
      </c>
      <c r="N1246" s="209" t="s">
        <v>2590</v>
      </c>
      <c r="O1246" s="205"/>
    </row>
    <row r="1247" spans="1:15" x14ac:dyDescent="0.25">
      <c r="A1247" s="87" t="s">
        <v>2504</v>
      </c>
      <c r="B1247" s="238" t="s">
        <v>2620</v>
      </c>
      <c r="C1247" s="252" t="s">
        <v>542</v>
      </c>
      <c r="D1247" s="539">
        <v>51.697000000000003</v>
      </c>
      <c r="E1247" s="539">
        <v>-2.3039999999999998</v>
      </c>
      <c r="F1247" s="540">
        <v>3511</v>
      </c>
      <c r="G1247" s="539">
        <v>3639</v>
      </c>
      <c r="H1247" s="539">
        <v>3383</v>
      </c>
      <c r="I1247" s="132" t="s">
        <v>2621</v>
      </c>
      <c r="J1247" s="598" t="s">
        <v>2512</v>
      </c>
      <c r="K1247" s="108" t="s">
        <v>830</v>
      </c>
      <c r="L1247" s="539" t="s">
        <v>14</v>
      </c>
      <c r="M1247" s="600" t="s">
        <v>2618</v>
      </c>
      <c r="N1247" s="209" t="s">
        <v>2619</v>
      </c>
      <c r="O1247" s="205"/>
    </row>
    <row r="1248" spans="1:15" s="45" customFormat="1" x14ac:dyDescent="0.25">
      <c r="A1248" s="665" t="s">
        <v>4358</v>
      </c>
      <c r="B1248" s="666"/>
      <c r="C1248" s="666"/>
      <c r="D1248" s="684">
        <f>AVERAGE(D1134:D1247)</f>
        <v>54.380241283684178</v>
      </c>
      <c r="E1248" s="684">
        <f>AVERAGE(E1134:E1247)</f>
        <v>-2.5450928000087716</v>
      </c>
      <c r="F1248" s="685">
        <f>AVERAGE(F1134:F1247)</f>
        <v>3433.4035087719299</v>
      </c>
      <c r="G1248" s="583"/>
      <c r="H1248" s="584"/>
      <c r="I1248" s="371"/>
      <c r="J1248" s="635"/>
      <c r="K1248" s="636"/>
      <c r="L1248" s="583"/>
      <c r="M1248" s="636"/>
      <c r="N1248" s="653"/>
      <c r="O1248" s="583"/>
    </row>
    <row r="1249" spans="1:15" s="2" customFormat="1" x14ac:dyDescent="0.25">
      <c r="A1249" s="87" t="s">
        <v>4535</v>
      </c>
      <c r="B1249" s="367"/>
      <c r="C1249" s="404"/>
      <c r="D1249" s="14"/>
      <c r="E1249" s="14"/>
      <c r="F1249" s="251"/>
      <c r="G1249" s="12"/>
      <c r="H1249" s="113"/>
      <c r="I1249" s="281"/>
      <c r="J1249" s="281"/>
      <c r="K1249" s="370"/>
      <c r="L1249" s="29"/>
      <c r="M1249" s="232"/>
      <c r="N1249" s="354"/>
      <c r="O1249" s="61"/>
    </row>
    <row r="1250" spans="1:15" s="2" customFormat="1" x14ac:dyDescent="0.25">
      <c r="A1250" s="87" t="s">
        <v>4594</v>
      </c>
      <c r="B1250" s="367"/>
      <c r="C1250" s="404"/>
      <c r="D1250" s="14"/>
      <c r="E1250" s="14"/>
      <c r="F1250" s="251"/>
      <c r="G1250" s="12"/>
      <c r="H1250" s="113"/>
      <c r="I1250" s="281"/>
      <c r="J1250" s="281"/>
      <c r="K1250" s="370"/>
      <c r="L1250" s="29"/>
      <c r="M1250" s="232"/>
      <c r="N1250" s="354"/>
      <c r="O1250" s="61"/>
    </row>
    <row r="1251" spans="1:15" x14ac:dyDescent="0.25">
      <c r="B1251" s="367"/>
      <c r="C1251" s="404"/>
      <c r="D1251" s="8"/>
      <c r="E1251" s="8"/>
      <c r="F1251" s="118"/>
      <c r="N1251" s="354"/>
      <c r="O1251" s="61"/>
    </row>
    <row r="1252" spans="1:15" x14ac:dyDescent="0.25">
      <c r="A1252" s="665" t="s">
        <v>4226</v>
      </c>
      <c r="B1252" s="367"/>
      <c r="C1252" s="404"/>
      <c r="D1252" s="8"/>
      <c r="E1252" s="8"/>
      <c r="F1252" s="118"/>
      <c r="N1252" s="354"/>
      <c r="O1252" s="61"/>
    </row>
    <row r="1253" spans="1:15" s="100" customFormat="1" ht="32.450000000000003" customHeight="1" x14ac:dyDescent="0.25">
      <c r="A1253" s="507" t="s">
        <v>4291</v>
      </c>
      <c r="B1253" s="508" t="s">
        <v>1247</v>
      </c>
      <c r="C1253" s="519" t="s">
        <v>0</v>
      </c>
      <c r="D1253" s="510" t="s">
        <v>969</v>
      </c>
      <c r="E1253" s="510" t="s">
        <v>2323</v>
      </c>
      <c r="F1253" s="510" t="s">
        <v>398</v>
      </c>
      <c r="G1253" s="511" t="s">
        <v>399</v>
      </c>
      <c r="H1253" s="512" t="s">
        <v>400</v>
      </c>
      <c r="I1253" s="101" t="s">
        <v>2322</v>
      </c>
      <c r="J1253" s="589" t="s">
        <v>3927</v>
      </c>
      <c r="K1253" s="590" t="s">
        <v>3250</v>
      </c>
      <c r="L1253" s="591" t="s">
        <v>1</v>
      </c>
      <c r="M1253" s="590" t="s">
        <v>3486</v>
      </c>
      <c r="N1253" s="640" t="s">
        <v>3487</v>
      </c>
      <c r="O1253" s="339" t="s">
        <v>2324</v>
      </c>
    </row>
    <row r="1254" spans="1:15" ht="12.6" customHeight="1" x14ac:dyDescent="0.25">
      <c r="A1254" s="253" t="s">
        <v>1100</v>
      </c>
      <c r="B1254" s="367" t="s">
        <v>1101</v>
      </c>
      <c r="C1254" s="252" t="s">
        <v>1075</v>
      </c>
      <c r="D1254" s="192">
        <v>54.54</v>
      </c>
      <c r="E1254" s="192">
        <v>-5.96</v>
      </c>
      <c r="F1254" s="116">
        <f t="shared" ref="F1254:F1266" si="44">AVERAGE(G1254:H1254)</f>
        <v>3181.5</v>
      </c>
      <c r="G1254" s="192">
        <v>3343</v>
      </c>
      <c r="H1254" s="192">
        <v>3020</v>
      </c>
      <c r="I1254" s="76" t="s">
        <v>493</v>
      </c>
      <c r="J1254" s="108" t="s">
        <v>69</v>
      </c>
      <c r="K1254" s="108" t="s">
        <v>1102</v>
      </c>
      <c r="L1254" s="17" t="s">
        <v>2</v>
      </c>
      <c r="M1254" s="108" t="s">
        <v>1103</v>
      </c>
      <c r="N1254" s="230" t="s">
        <v>1104</v>
      </c>
      <c r="O1254" s="657"/>
    </row>
    <row r="1255" spans="1:15" s="63" customFormat="1" ht="13.9" customHeight="1" x14ac:dyDescent="0.25">
      <c r="A1255" s="819" t="s">
        <v>973</v>
      </c>
      <c r="B1255" s="367" t="s">
        <v>1122</v>
      </c>
      <c r="C1255" s="252" t="s">
        <v>1075</v>
      </c>
      <c r="D1255" s="586">
        <v>54.25</v>
      </c>
      <c r="E1255" s="586">
        <v>-8.52</v>
      </c>
      <c r="F1255" s="116">
        <f t="shared" si="44"/>
        <v>3510</v>
      </c>
      <c r="G1255" s="192">
        <v>3640</v>
      </c>
      <c r="H1255" s="192">
        <v>3380</v>
      </c>
      <c r="I1255" s="76" t="s">
        <v>85</v>
      </c>
      <c r="J1255" s="108" t="s">
        <v>80</v>
      </c>
      <c r="K1255" s="108" t="s">
        <v>69</v>
      </c>
      <c r="L1255" s="17" t="s">
        <v>14</v>
      </c>
      <c r="M1255" s="108" t="s">
        <v>1123</v>
      </c>
      <c r="N1255" s="230" t="s">
        <v>1124</v>
      </c>
      <c r="O1255" s="657"/>
    </row>
    <row r="1256" spans="1:15" s="63" customFormat="1" x14ac:dyDescent="0.25">
      <c r="A1256" s="819" t="s">
        <v>973</v>
      </c>
      <c r="B1256" s="367" t="s">
        <v>1213</v>
      </c>
      <c r="C1256" s="252" t="s">
        <v>1075</v>
      </c>
      <c r="D1256" s="586">
        <v>54.252861000000003</v>
      </c>
      <c r="E1256" s="586">
        <v>-8.5543700000000005</v>
      </c>
      <c r="F1256" s="116">
        <f t="shared" si="44"/>
        <v>3725</v>
      </c>
      <c r="G1256" s="192">
        <v>3790</v>
      </c>
      <c r="H1256" s="192">
        <v>3660</v>
      </c>
      <c r="I1256" s="76" t="s">
        <v>490</v>
      </c>
      <c r="J1256" s="108" t="s">
        <v>69</v>
      </c>
      <c r="K1256" s="108" t="s">
        <v>1097</v>
      </c>
      <c r="L1256" s="17" t="s">
        <v>2</v>
      </c>
      <c r="M1256" s="108" t="s">
        <v>1214</v>
      </c>
      <c r="N1256" s="230" t="s">
        <v>1215</v>
      </c>
      <c r="O1256" s="391"/>
    </row>
    <row r="1257" spans="1:15" s="63" customFormat="1" ht="15.75" thickBot="1" x14ac:dyDescent="0.3">
      <c r="A1257" s="819" t="s">
        <v>973</v>
      </c>
      <c r="B1257" s="367" t="s">
        <v>1213</v>
      </c>
      <c r="C1257" s="252" t="s">
        <v>1075</v>
      </c>
      <c r="D1257" s="586">
        <v>54.252861000000003</v>
      </c>
      <c r="E1257" s="586">
        <v>-8.5543700000000005</v>
      </c>
      <c r="F1257" s="116">
        <f t="shared" si="44"/>
        <v>3710</v>
      </c>
      <c r="G1257" s="192">
        <v>3770</v>
      </c>
      <c r="H1257" s="192">
        <v>3650</v>
      </c>
      <c r="I1257" s="76" t="s">
        <v>1216</v>
      </c>
      <c r="J1257" s="108" t="s">
        <v>80</v>
      </c>
      <c r="K1257" s="108" t="s">
        <v>1097</v>
      </c>
      <c r="L1257" s="17" t="s">
        <v>14</v>
      </c>
      <c r="M1257" s="108" t="s">
        <v>1217</v>
      </c>
      <c r="N1257" s="230" t="s">
        <v>1218</v>
      </c>
      <c r="O1257" s="391"/>
    </row>
    <row r="1258" spans="1:15" s="63" customFormat="1" ht="15.75" thickBot="1" x14ac:dyDescent="0.3">
      <c r="A1258" s="819" t="s">
        <v>973</v>
      </c>
      <c r="B1258" s="367" t="s">
        <v>1213</v>
      </c>
      <c r="C1258" s="252" t="s">
        <v>1075</v>
      </c>
      <c r="D1258" s="586">
        <v>54.252861000000003</v>
      </c>
      <c r="E1258" s="586">
        <v>-8.5543700000000005</v>
      </c>
      <c r="F1258" s="116">
        <f t="shared" si="44"/>
        <v>3510</v>
      </c>
      <c r="G1258" s="192">
        <v>3640</v>
      </c>
      <c r="H1258" s="192">
        <v>3380</v>
      </c>
      <c r="I1258" s="178" t="s">
        <v>481</v>
      </c>
      <c r="J1258" s="108" t="s">
        <v>69</v>
      </c>
      <c r="K1258" s="108" t="s">
        <v>1097</v>
      </c>
      <c r="L1258" s="17" t="s">
        <v>2</v>
      </c>
      <c r="M1258" s="108" t="s">
        <v>1219</v>
      </c>
      <c r="N1258" s="230" t="s">
        <v>1220</v>
      </c>
      <c r="O1258" s="391"/>
    </row>
    <row r="1259" spans="1:15" s="63" customFormat="1" ht="15.75" thickBot="1" x14ac:dyDescent="0.3">
      <c r="A1259" s="819" t="s">
        <v>973</v>
      </c>
      <c r="B1259" s="367" t="s">
        <v>1213</v>
      </c>
      <c r="C1259" s="252" t="s">
        <v>1075</v>
      </c>
      <c r="D1259" s="586">
        <v>54.252861000000003</v>
      </c>
      <c r="E1259" s="586">
        <v>-8.5543700000000005</v>
      </c>
      <c r="F1259" s="116">
        <f t="shared" si="44"/>
        <v>3435</v>
      </c>
      <c r="G1259" s="192">
        <v>3510</v>
      </c>
      <c r="H1259" s="192">
        <v>3360</v>
      </c>
      <c r="I1259" s="178" t="s">
        <v>669</v>
      </c>
      <c r="J1259" s="108" t="s">
        <v>69</v>
      </c>
      <c r="K1259" s="108" t="s">
        <v>1097</v>
      </c>
      <c r="L1259" s="17" t="s">
        <v>14</v>
      </c>
      <c r="M1259" s="108" t="s">
        <v>1221</v>
      </c>
      <c r="N1259" s="230" t="s">
        <v>1222</v>
      </c>
      <c r="O1259" s="391"/>
    </row>
    <row r="1260" spans="1:15" s="63" customFormat="1" ht="15.75" thickBot="1" x14ac:dyDescent="0.3">
      <c r="A1260" s="819" t="s">
        <v>973</v>
      </c>
      <c r="B1260" s="367" t="s">
        <v>1213</v>
      </c>
      <c r="C1260" s="252" t="s">
        <v>1075</v>
      </c>
      <c r="D1260" s="586">
        <v>54.252861000000003</v>
      </c>
      <c r="E1260" s="586">
        <v>-8.5543700000000005</v>
      </c>
      <c r="F1260" s="116">
        <f t="shared" si="44"/>
        <v>3430</v>
      </c>
      <c r="G1260" s="192">
        <v>3500</v>
      </c>
      <c r="H1260" s="192">
        <v>3360</v>
      </c>
      <c r="I1260" s="76" t="s">
        <v>1223</v>
      </c>
      <c r="J1260" s="108" t="s">
        <v>478</v>
      </c>
      <c r="K1260" s="108" t="s">
        <v>1097</v>
      </c>
      <c r="L1260" s="17" t="s">
        <v>14</v>
      </c>
      <c r="M1260" s="108" t="s">
        <v>1224</v>
      </c>
      <c r="N1260" s="230" t="s">
        <v>1225</v>
      </c>
      <c r="O1260" s="391"/>
    </row>
    <row r="1261" spans="1:15" s="63" customFormat="1" ht="15.75" thickBot="1" x14ac:dyDescent="0.3">
      <c r="A1261" s="819" t="s">
        <v>973</v>
      </c>
      <c r="B1261" s="367" t="s">
        <v>1213</v>
      </c>
      <c r="C1261" s="252" t="s">
        <v>1075</v>
      </c>
      <c r="D1261" s="586">
        <v>54.252861000000003</v>
      </c>
      <c r="E1261" s="586">
        <v>-8.5543700000000005</v>
      </c>
      <c r="F1261" s="116">
        <f t="shared" si="44"/>
        <v>3580</v>
      </c>
      <c r="G1261" s="192">
        <v>3640</v>
      </c>
      <c r="H1261" s="192">
        <v>3520</v>
      </c>
      <c r="I1261" s="178" t="s">
        <v>481</v>
      </c>
      <c r="J1261" s="108" t="s">
        <v>80</v>
      </c>
      <c r="K1261" s="108" t="s">
        <v>1097</v>
      </c>
      <c r="L1261" s="17" t="s">
        <v>14</v>
      </c>
      <c r="M1261" s="108" t="s">
        <v>1226</v>
      </c>
      <c r="N1261" s="230" t="s">
        <v>1227</v>
      </c>
      <c r="O1261" s="391"/>
    </row>
    <row r="1262" spans="1:15" s="63" customFormat="1" x14ac:dyDescent="0.25">
      <c r="A1262" s="819" t="s">
        <v>973</v>
      </c>
      <c r="B1262" s="367" t="s">
        <v>1213</v>
      </c>
      <c r="C1262" s="252" t="s">
        <v>1075</v>
      </c>
      <c r="D1262" s="586">
        <v>54.252861000000003</v>
      </c>
      <c r="E1262" s="586">
        <v>-8.5543700000000005</v>
      </c>
      <c r="F1262" s="116">
        <f t="shared" si="44"/>
        <v>3710</v>
      </c>
      <c r="G1262" s="192">
        <v>3770</v>
      </c>
      <c r="H1262" s="192">
        <v>3650</v>
      </c>
      <c r="I1262" s="76" t="s">
        <v>437</v>
      </c>
      <c r="J1262" s="108" t="s">
        <v>526</v>
      </c>
      <c r="K1262" s="108" t="s">
        <v>1097</v>
      </c>
      <c r="L1262" s="17" t="s">
        <v>14</v>
      </c>
      <c r="M1262" s="108" t="s">
        <v>1228</v>
      </c>
      <c r="N1262" s="230" t="s">
        <v>1229</v>
      </c>
      <c r="O1262" s="391"/>
    </row>
    <row r="1263" spans="1:15" s="63" customFormat="1" ht="15.75" thickBot="1" x14ac:dyDescent="0.3">
      <c r="A1263" s="819" t="s">
        <v>973</v>
      </c>
      <c r="B1263" s="367" t="s">
        <v>1213</v>
      </c>
      <c r="C1263" s="252" t="s">
        <v>1075</v>
      </c>
      <c r="D1263" s="586">
        <v>54.252861000000003</v>
      </c>
      <c r="E1263" s="586">
        <v>-8.5543700000000005</v>
      </c>
      <c r="F1263" s="116">
        <f t="shared" si="44"/>
        <v>3500</v>
      </c>
      <c r="G1263" s="192">
        <v>3630</v>
      </c>
      <c r="H1263" s="192">
        <v>3370</v>
      </c>
      <c r="I1263" s="76" t="s">
        <v>1230</v>
      </c>
      <c r="J1263" s="108" t="s">
        <v>478</v>
      </c>
      <c r="K1263" s="108" t="s">
        <v>1097</v>
      </c>
      <c r="L1263" s="17" t="s">
        <v>14</v>
      </c>
      <c r="M1263" s="108" t="s">
        <v>1231</v>
      </c>
      <c r="N1263" s="230" t="s">
        <v>1232</v>
      </c>
      <c r="O1263" s="391"/>
    </row>
    <row r="1264" spans="1:15" s="63" customFormat="1" ht="15.75" thickBot="1" x14ac:dyDescent="0.3">
      <c r="A1264" s="819" t="s">
        <v>973</v>
      </c>
      <c r="B1264" s="367" t="s">
        <v>1213</v>
      </c>
      <c r="C1264" s="252" t="s">
        <v>1075</v>
      </c>
      <c r="D1264" s="586">
        <v>54.252861000000003</v>
      </c>
      <c r="E1264" s="586">
        <v>-8.5543700000000005</v>
      </c>
      <c r="F1264" s="116">
        <f t="shared" si="44"/>
        <v>3610</v>
      </c>
      <c r="G1264" s="192">
        <v>3690</v>
      </c>
      <c r="H1264" s="192">
        <v>3530</v>
      </c>
      <c r="I1264" s="178" t="s">
        <v>669</v>
      </c>
      <c r="J1264" s="108" t="s">
        <v>478</v>
      </c>
      <c r="K1264" s="108" t="s">
        <v>1097</v>
      </c>
      <c r="L1264" s="17" t="s">
        <v>14</v>
      </c>
      <c r="M1264" s="108" t="s">
        <v>1233</v>
      </c>
      <c r="N1264" s="230" t="s">
        <v>1234</v>
      </c>
      <c r="O1264" s="391"/>
    </row>
    <row r="1265" spans="1:15" s="63" customFormat="1" ht="15.75" thickBot="1" x14ac:dyDescent="0.3">
      <c r="A1265" s="819" t="s">
        <v>973</v>
      </c>
      <c r="B1265" s="367" t="s">
        <v>1213</v>
      </c>
      <c r="C1265" s="252" t="s">
        <v>1075</v>
      </c>
      <c r="D1265" s="586">
        <v>54.252861000000003</v>
      </c>
      <c r="E1265" s="586">
        <v>-8.5543700000000005</v>
      </c>
      <c r="F1265" s="116">
        <f t="shared" si="44"/>
        <v>3715</v>
      </c>
      <c r="G1265" s="192">
        <v>3780</v>
      </c>
      <c r="H1265" s="192">
        <v>3650</v>
      </c>
      <c r="I1265" s="178" t="s">
        <v>481</v>
      </c>
      <c r="J1265" s="108" t="s">
        <v>80</v>
      </c>
      <c r="K1265" s="108" t="s">
        <v>1097</v>
      </c>
      <c r="L1265" s="17" t="s">
        <v>14</v>
      </c>
      <c r="M1265" s="108" t="s">
        <v>1235</v>
      </c>
      <c r="N1265" s="230" t="s">
        <v>1236</v>
      </c>
      <c r="O1265" s="391"/>
    </row>
    <row r="1266" spans="1:15" s="63" customFormat="1" ht="15.75" thickBot="1" x14ac:dyDescent="0.3">
      <c r="A1266" s="819" t="s">
        <v>973</v>
      </c>
      <c r="B1266" s="367" t="s">
        <v>1213</v>
      </c>
      <c r="C1266" s="252" t="s">
        <v>1075</v>
      </c>
      <c r="D1266" s="586">
        <v>54.252861000000003</v>
      </c>
      <c r="E1266" s="586">
        <v>-8.5543700000000005</v>
      </c>
      <c r="F1266" s="116">
        <f t="shared" si="44"/>
        <v>3710</v>
      </c>
      <c r="G1266" s="192">
        <v>3770</v>
      </c>
      <c r="H1266" s="192">
        <v>3650</v>
      </c>
      <c r="I1266" s="178" t="s">
        <v>481</v>
      </c>
      <c r="J1266" s="108" t="s">
        <v>80</v>
      </c>
      <c r="K1266" s="108" t="s">
        <v>1097</v>
      </c>
      <c r="L1266" s="17" t="s">
        <v>14</v>
      </c>
      <c r="M1266" s="108" t="s">
        <v>1237</v>
      </c>
      <c r="N1266" s="230" t="s">
        <v>1238</v>
      </c>
      <c r="O1266" s="391"/>
    </row>
    <row r="1267" spans="1:15" ht="15.75" thickBot="1" x14ac:dyDescent="0.3">
      <c r="A1267" s="585" t="s">
        <v>975</v>
      </c>
      <c r="B1267" s="367" t="s">
        <v>1074</v>
      </c>
      <c r="C1267" s="252" t="s">
        <v>1075</v>
      </c>
      <c r="D1267" s="586">
        <v>52.676409999999997</v>
      </c>
      <c r="E1267" s="586">
        <v>-8.4553259999999995</v>
      </c>
      <c r="F1267" s="116">
        <f t="shared" ref="F1267:F1308" si="45">AVERAGE(G1267:H1267)</f>
        <v>3387.5</v>
      </c>
      <c r="G1267" s="192">
        <v>3638</v>
      </c>
      <c r="H1267" s="192">
        <v>3137</v>
      </c>
      <c r="I1267" s="178" t="s">
        <v>481</v>
      </c>
      <c r="J1267" s="108" t="s">
        <v>1076</v>
      </c>
      <c r="K1267" s="637" t="s">
        <v>1077</v>
      </c>
      <c r="L1267" s="638" t="s">
        <v>14</v>
      </c>
      <c r="M1267" s="108" t="s">
        <v>1078</v>
      </c>
      <c r="N1267" s="230" t="s">
        <v>1079</v>
      </c>
      <c r="O1267" s="391" t="s">
        <v>1080</v>
      </c>
    </row>
    <row r="1268" spans="1:15" x14ac:dyDescent="0.25">
      <c r="A1268" s="585" t="s">
        <v>975</v>
      </c>
      <c r="B1268" s="367" t="s">
        <v>1074</v>
      </c>
      <c r="C1268" s="252" t="s">
        <v>1075</v>
      </c>
      <c r="D1268" s="586">
        <v>52.676409999999997</v>
      </c>
      <c r="E1268" s="586">
        <v>-8.4553259999999995</v>
      </c>
      <c r="F1268" s="116">
        <f t="shared" si="45"/>
        <v>3542</v>
      </c>
      <c r="G1268" s="192">
        <v>3705</v>
      </c>
      <c r="H1268" s="192">
        <v>3379</v>
      </c>
      <c r="I1268" s="76" t="s">
        <v>1081</v>
      </c>
      <c r="J1268" s="108" t="s">
        <v>1082</v>
      </c>
      <c r="K1268" s="637" t="s">
        <v>1077</v>
      </c>
      <c r="L1268" s="638" t="s">
        <v>14</v>
      </c>
      <c r="M1268" s="108" t="s">
        <v>1083</v>
      </c>
      <c r="N1268" s="230" t="s">
        <v>1084</v>
      </c>
      <c r="O1268" s="391" t="s">
        <v>1080</v>
      </c>
    </row>
    <row r="1269" spans="1:15" ht="15.75" thickBot="1" x14ac:dyDescent="0.3">
      <c r="A1269" s="585" t="s">
        <v>975</v>
      </c>
      <c r="B1269" s="367" t="s">
        <v>1085</v>
      </c>
      <c r="C1269" s="252" t="s">
        <v>1075</v>
      </c>
      <c r="D1269" s="586">
        <v>52.934997000000003</v>
      </c>
      <c r="E1269" s="586">
        <v>-8.1541680000000003</v>
      </c>
      <c r="F1269" s="116">
        <f t="shared" si="45"/>
        <v>3495.5</v>
      </c>
      <c r="G1269" s="192">
        <v>3624</v>
      </c>
      <c r="H1269" s="192">
        <v>3367</v>
      </c>
      <c r="I1269" s="76" t="s">
        <v>81</v>
      </c>
      <c r="J1269" s="108" t="s">
        <v>1086</v>
      </c>
      <c r="K1269" s="637" t="s">
        <v>1077</v>
      </c>
      <c r="L1269" s="638" t="s">
        <v>14</v>
      </c>
      <c r="M1269" s="108" t="s">
        <v>1087</v>
      </c>
      <c r="N1269" s="230" t="s">
        <v>1088</v>
      </c>
      <c r="O1269" s="657" t="s">
        <v>1089</v>
      </c>
    </row>
    <row r="1270" spans="1:15" ht="14.45" customHeight="1" thickBot="1" x14ac:dyDescent="0.3">
      <c r="A1270" s="585" t="s">
        <v>975</v>
      </c>
      <c r="B1270" s="367" t="s">
        <v>1090</v>
      </c>
      <c r="C1270" s="252" t="s">
        <v>1075</v>
      </c>
      <c r="D1270" s="586">
        <v>52.931060000000002</v>
      </c>
      <c r="E1270" s="586">
        <v>-8.1874310000000001</v>
      </c>
      <c r="F1270" s="116">
        <f t="shared" si="45"/>
        <v>3511</v>
      </c>
      <c r="G1270" s="192">
        <v>3641</v>
      </c>
      <c r="H1270" s="192">
        <v>3381</v>
      </c>
      <c r="I1270" s="178" t="s">
        <v>1091</v>
      </c>
      <c r="J1270" s="108" t="s">
        <v>1092</v>
      </c>
      <c r="K1270" s="108" t="s">
        <v>1077</v>
      </c>
      <c r="L1270" s="638" t="s">
        <v>14</v>
      </c>
      <c r="M1270" s="108" t="s">
        <v>1093</v>
      </c>
      <c r="N1270" s="230" t="s">
        <v>1094</v>
      </c>
      <c r="O1270" s="391" t="s">
        <v>1095</v>
      </c>
    </row>
    <row r="1271" spans="1:15" ht="13.9" customHeight="1" thickBot="1" x14ac:dyDescent="0.3">
      <c r="A1271" s="585" t="s">
        <v>975</v>
      </c>
      <c r="B1271" s="367" t="s">
        <v>1090</v>
      </c>
      <c r="C1271" s="252" t="s">
        <v>1075</v>
      </c>
      <c r="D1271" s="587">
        <v>52.931060000000002</v>
      </c>
      <c r="E1271" s="587">
        <v>-8.1874310000000001</v>
      </c>
      <c r="F1271" s="116">
        <f t="shared" si="45"/>
        <v>3625.5</v>
      </c>
      <c r="G1271" s="192">
        <v>3712</v>
      </c>
      <c r="H1271" s="192">
        <v>3539</v>
      </c>
      <c r="I1271" s="76" t="s">
        <v>85</v>
      </c>
      <c r="J1271" s="108" t="s">
        <v>1096</v>
      </c>
      <c r="K1271" s="108" t="s">
        <v>1097</v>
      </c>
      <c r="L1271" s="17" t="s">
        <v>14</v>
      </c>
      <c r="M1271" s="108" t="s">
        <v>1098</v>
      </c>
      <c r="N1271" s="230" t="s">
        <v>1099</v>
      </c>
      <c r="O1271" s="657" t="s">
        <v>1089</v>
      </c>
    </row>
    <row r="1272" spans="1:15" ht="13.9" customHeight="1" thickBot="1" x14ac:dyDescent="0.3">
      <c r="A1272" s="585" t="s">
        <v>975</v>
      </c>
      <c r="B1272" s="367" t="s">
        <v>4543</v>
      </c>
      <c r="C1272" s="252" t="s">
        <v>1075</v>
      </c>
      <c r="D1272" s="586">
        <v>52.807364</v>
      </c>
      <c r="E1272" s="586">
        <v>-6.8233050000000004</v>
      </c>
      <c r="F1272" s="116">
        <f t="shared" si="45"/>
        <v>3506</v>
      </c>
      <c r="G1272" s="192">
        <v>3635</v>
      </c>
      <c r="H1272" s="192">
        <v>3377</v>
      </c>
      <c r="I1272" s="178" t="s">
        <v>669</v>
      </c>
      <c r="J1272" s="108" t="s">
        <v>69</v>
      </c>
      <c r="K1272" s="108" t="s">
        <v>1077</v>
      </c>
      <c r="L1272" s="17" t="s">
        <v>14</v>
      </c>
      <c r="M1272" s="108" t="s">
        <v>4538</v>
      </c>
      <c r="N1272" s="230" t="s">
        <v>4541</v>
      </c>
      <c r="O1272" s="657" t="s">
        <v>4542</v>
      </c>
    </row>
    <row r="1273" spans="1:15" x14ac:dyDescent="0.25">
      <c r="A1273" s="585" t="s">
        <v>975</v>
      </c>
      <c r="B1273" s="367" t="s">
        <v>1105</v>
      </c>
      <c r="C1273" s="252" t="s">
        <v>1075</v>
      </c>
      <c r="D1273" s="586">
        <v>54.058616999999998</v>
      </c>
      <c r="E1273" s="586">
        <v>-8.3820589999999999</v>
      </c>
      <c r="F1273" s="116">
        <f t="shared" si="45"/>
        <v>2758.5</v>
      </c>
      <c r="G1273" s="192">
        <v>2883</v>
      </c>
      <c r="H1273" s="192">
        <v>2634</v>
      </c>
      <c r="I1273" s="76" t="s">
        <v>1106</v>
      </c>
      <c r="J1273" s="108" t="s">
        <v>69</v>
      </c>
      <c r="K1273" s="108" t="s">
        <v>1107</v>
      </c>
      <c r="L1273" s="638" t="s">
        <v>2</v>
      </c>
      <c r="M1273" s="108" t="s">
        <v>1108</v>
      </c>
      <c r="N1273" s="230" t="s">
        <v>1109</v>
      </c>
      <c r="O1273" s="657" t="s">
        <v>1110</v>
      </c>
    </row>
    <row r="1274" spans="1:15" ht="16.149999999999999" customHeight="1" x14ac:dyDescent="0.25">
      <c r="A1274" s="585" t="s">
        <v>975</v>
      </c>
      <c r="B1274" s="367" t="s">
        <v>1105</v>
      </c>
      <c r="C1274" s="252" t="s">
        <v>1075</v>
      </c>
      <c r="D1274" s="586">
        <v>54.058616999999998</v>
      </c>
      <c r="E1274" s="586">
        <v>-8.3820589999999999</v>
      </c>
      <c r="F1274" s="116">
        <f t="shared" si="45"/>
        <v>2753</v>
      </c>
      <c r="G1274" s="192">
        <v>2881</v>
      </c>
      <c r="H1274" s="192">
        <v>2625</v>
      </c>
      <c r="I1274" s="76" t="s">
        <v>559</v>
      </c>
      <c r="J1274" s="108" t="s">
        <v>1111</v>
      </c>
      <c r="K1274" s="108" t="s">
        <v>1107</v>
      </c>
      <c r="L1274" s="638" t="s">
        <v>14</v>
      </c>
      <c r="M1274" s="108" t="s">
        <v>1112</v>
      </c>
      <c r="N1274" s="230" t="s">
        <v>1113</v>
      </c>
      <c r="O1274" s="657" t="s">
        <v>1110</v>
      </c>
    </row>
    <row r="1275" spans="1:15" ht="13.9" customHeight="1" x14ac:dyDescent="0.25">
      <c r="A1275" s="585" t="s">
        <v>975</v>
      </c>
      <c r="B1275" s="367" t="s">
        <v>1105</v>
      </c>
      <c r="C1275" s="252" t="s">
        <v>1075</v>
      </c>
      <c r="D1275" s="586">
        <v>54.058616999999998</v>
      </c>
      <c r="E1275" s="586">
        <v>-8.3820589999999999</v>
      </c>
      <c r="F1275" s="116">
        <f t="shared" si="45"/>
        <v>2952.5</v>
      </c>
      <c r="G1275" s="192">
        <v>3014</v>
      </c>
      <c r="H1275" s="192">
        <v>2891</v>
      </c>
      <c r="I1275" s="76" t="s">
        <v>189</v>
      </c>
      <c r="J1275" s="108" t="s">
        <v>1114</v>
      </c>
      <c r="K1275" s="108" t="s">
        <v>1107</v>
      </c>
      <c r="L1275" s="638" t="s">
        <v>14</v>
      </c>
      <c r="M1275" s="108" t="s">
        <v>1115</v>
      </c>
      <c r="N1275" s="230" t="s">
        <v>1116</v>
      </c>
      <c r="O1275" s="657" t="s">
        <v>1110</v>
      </c>
    </row>
    <row r="1276" spans="1:15" s="63" customFormat="1" ht="14.45" customHeight="1" x14ac:dyDescent="0.25">
      <c r="A1276" s="585" t="s">
        <v>975</v>
      </c>
      <c r="B1276" s="367" t="s">
        <v>1105</v>
      </c>
      <c r="C1276" s="252" t="s">
        <v>1075</v>
      </c>
      <c r="D1276" s="586">
        <v>54.058616999999998</v>
      </c>
      <c r="E1276" s="586">
        <v>-8.3820589999999999</v>
      </c>
      <c r="F1276" s="116">
        <f t="shared" si="45"/>
        <v>2994.5</v>
      </c>
      <c r="G1276" s="192">
        <v>3085</v>
      </c>
      <c r="H1276" s="192">
        <v>2904</v>
      </c>
      <c r="I1276" s="76" t="s">
        <v>18</v>
      </c>
      <c r="J1276" s="108" t="s">
        <v>69</v>
      </c>
      <c r="K1276" s="108" t="s">
        <v>1107</v>
      </c>
      <c r="L1276" s="638" t="s">
        <v>2</v>
      </c>
      <c r="M1276" s="108" t="s">
        <v>1117</v>
      </c>
      <c r="N1276" s="230" t="s">
        <v>1118</v>
      </c>
      <c r="O1276" s="657" t="s">
        <v>1110</v>
      </c>
    </row>
    <row r="1277" spans="1:15" s="63" customFormat="1" ht="14.45" customHeight="1" x14ac:dyDescent="0.25">
      <c r="A1277" s="585" t="s">
        <v>975</v>
      </c>
      <c r="B1277" s="367" t="s">
        <v>1105</v>
      </c>
      <c r="C1277" s="252" t="s">
        <v>1075</v>
      </c>
      <c r="D1277" s="586">
        <v>54.058616999999998</v>
      </c>
      <c r="E1277" s="586">
        <v>-8.3820589999999999</v>
      </c>
      <c r="F1277" s="116">
        <f t="shared" si="45"/>
        <v>2651</v>
      </c>
      <c r="G1277" s="192">
        <v>2833</v>
      </c>
      <c r="H1277" s="192">
        <v>2469</v>
      </c>
      <c r="I1277" s="76" t="s">
        <v>18</v>
      </c>
      <c r="J1277" s="108" t="s">
        <v>1119</v>
      </c>
      <c r="K1277" s="108" t="s">
        <v>1107</v>
      </c>
      <c r="L1277" s="638" t="s">
        <v>14</v>
      </c>
      <c r="M1277" s="108" t="s">
        <v>1120</v>
      </c>
      <c r="N1277" s="230" t="s">
        <v>1121</v>
      </c>
      <c r="O1277" s="657" t="s">
        <v>1110</v>
      </c>
    </row>
    <row r="1278" spans="1:15" s="63" customFormat="1" ht="14.45" customHeight="1" x14ac:dyDescent="0.25">
      <c r="A1278" s="585" t="s">
        <v>975</v>
      </c>
      <c r="B1278" s="367" t="s">
        <v>1105</v>
      </c>
      <c r="C1278" s="252" t="s">
        <v>1075</v>
      </c>
      <c r="D1278" s="586">
        <v>54.058616999999998</v>
      </c>
      <c r="E1278" s="586">
        <v>-8.3820589999999999</v>
      </c>
      <c r="F1278" s="116">
        <f t="shared" si="45"/>
        <v>2821.8999999999996</v>
      </c>
      <c r="G1278" s="197">
        <f>AVERAGE(G1273:G1277)</f>
        <v>2939.2</v>
      </c>
      <c r="H1278" s="197">
        <f>AVERAGE(H1273:H1277)</f>
        <v>2704.6</v>
      </c>
      <c r="I1278" s="820" t="s">
        <v>2621</v>
      </c>
      <c r="J1278" s="108" t="s">
        <v>69</v>
      </c>
      <c r="K1278" s="108" t="s">
        <v>1107</v>
      </c>
      <c r="L1278" s="638" t="s">
        <v>14</v>
      </c>
      <c r="M1278" s="108" t="s">
        <v>4539</v>
      </c>
      <c r="N1278" s="230" t="s">
        <v>4540</v>
      </c>
      <c r="O1278" s="391" t="s">
        <v>4544</v>
      </c>
    </row>
    <row r="1279" spans="1:15" s="63" customFormat="1" ht="12.6" customHeight="1" thickBot="1" x14ac:dyDescent="0.3">
      <c r="A1279" s="585" t="s">
        <v>975</v>
      </c>
      <c r="B1279" s="367" t="s">
        <v>1125</v>
      </c>
      <c r="C1279" s="252" t="s">
        <v>1075</v>
      </c>
      <c r="D1279" s="586">
        <v>54.054794999999999</v>
      </c>
      <c r="E1279" s="586">
        <v>-7.0267470000000003</v>
      </c>
      <c r="F1279" s="116">
        <f t="shared" si="45"/>
        <v>3518</v>
      </c>
      <c r="G1279" s="192">
        <v>3652</v>
      </c>
      <c r="H1279" s="192">
        <v>3384</v>
      </c>
      <c r="I1279" s="76" t="s">
        <v>559</v>
      </c>
      <c r="J1279" s="108" t="s">
        <v>1126</v>
      </c>
      <c r="K1279" s="108" t="s">
        <v>1077</v>
      </c>
      <c r="L1279" s="638" t="s">
        <v>14</v>
      </c>
      <c r="M1279" s="108" t="s">
        <v>1127</v>
      </c>
      <c r="N1279" s="230" t="s">
        <v>1128</v>
      </c>
      <c r="O1279" s="657" t="s">
        <v>1129</v>
      </c>
    </row>
    <row r="1280" spans="1:15" s="63" customFormat="1" ht="12.6" customHeight="1" thickBot="1" x14ac:dyDescent="0.3">
      <c r="A1280" s="585" t="s">
        <v>975</v>
      </c>
      <c r="B1280" s="367" t="s">
        <v>1130</v>
      </c>
      <c r="C1280" s="252" t="s">
        <v>1075</v>
      </c>
      <c r="D1280" s="586">
        <v>53.969700000000003</v>
      </c>
      <c r="E1280" s="586">
        <v>-9.6319999999999997</v>
      </c>
      <c r="F1280" s="116">
        <f t="shared" si="45"/>
        <v>3306.5</v>
      </c>
      <c r="G1280" s="192">
        <v>3507</v>
      </c>
      <c r="H1280" s="192">
        <v>3106</v>
      </c>
      <c r="I1280" s="178" t="s">
        <v>481</v>
      </c>
      <c r="J1280" s="108" t="s">
        <v>1131</v>
      </c>
      <c r="K1280" s="108" t="s">
        <v>1077</v>
      </c>
      <c r="L1280" s="638" t="s">
        <v>14</v>
      </c>
      <c r="M1280" s="108" t="s">
        <v>1132</v>
      </c>
      <c r="N1280" s="230" t="s">
        <v>1133</v>
      </c>
      <c r="O1280" s="657" t="s">
        <v>1134</v>
      </c>
    </row>
    <row r="1281" spans="1:15" s="63" customFormat="1" ht="13.15" customHeight="1" x14ac:dyDescent="0.25">
      <c r="A1281" s="585" t="s">
        <v>975</v>
      </c>
      <c r="B1281" s="367" t="s">
        <v>1130</v>
      </c>
      <c r="C1281" s="252" t="s">
        <v>1075</v>
      </c>
      <c r="D1281" s="586">
        <v>53.969700000000003</v>
      </c>
      <c r="E1281" s="586">
        <v>-9.6319999999999997</v>
      </c>
      <c r="F1281" s="116">
        <f t="shared" si="45"/>
        <v>3152</v>
      </c>
      <c r="G1281" s="192">
        <v>3364</v>
      </c>
      <c r="H1281" s="192">
        <v>2940</v>
      </c>
      <c r="I1281" s="76" t="s">
        <v>442</v>
      </c>
      <c r="J1281" s="108" t="s">
        <v>1135</v>
      </c>
      <c r="K1281" s="108" t="s">
        <v>1077</v>
      </c>
      <c r="L1281" s="638" t="s">
        <v>14</v>
      </c>
      <c r="M1281" s="108" t="s">
        <v>1136</v>
      </c>
      <c r="N1281" s="230" t="s">
        <v>1137</v>
      </c>
      <c r="O1281" s="657" t="s">
        <v>1134</v>
      </c>
    </row>
    <row r="1282" spans="1:15" s="63" customFormat="1" ht="14.45" customHeight="1" x14ac:dyDescent="0.25">
      <c r="A1282" s="585" t="s">
        <v>975</v>
      </c>
      <c r="B1282" s="367" t="s">
        <v>1138</v>
      </c>
      <c r="C1282" s="252" t="s">
        <v>1075</v>
      </c>
      <c r="D1282" s="586">
        <v>52.521282999999997</v>
      </c>
      <c r="E1282" s="586">
        <v>-7.1659680000000003</v>
      </c>
      <c r="F1282" s="116">
        <f t="shared" si="45"/>
        <v>3531.5</v>
      </c>
      <c r="G1282" s="192">
        <v>3694</v>
      </c>
      <c r="H1282" s="192">
        <v>3369</v>
      </c>
      <c r="I1282" s="76" t="s">
        <v>85</v>
      </c>
      <c r="J1282" s="108" t="s">
        <v>69</v>
      </c>
      <c r="K1282" s="108" t="s">
        <v>1077</v>
      </c>
      <c r="L1282" s="638" t="s">
        <v>14</v>
      </c>
      <c r="M1282" s="108" t="s">
        <v>1139</v>
      </c>
      <c r="N1282" s="230" t="s">
        <v>1140</v>
      </c>
      <c r="O1282" s="657" t="s">
        <v>1089</v>
      </c>
    </row>
    <row r="1283" spans="1:15" s="63" customFormat="1" ht="13.9" customHeight="1" x14ac:dyDescent="0.25">
      <c r="A1283" s="585" t="s">
        <v>975</v>
      </c>
      <c r="B1283" s="367" t="s">
        <v>1141</v>
      </c>
      <c r="C1283" s="252" t="s">
        <v>1075</v>
      </c>
      <c r="D1283" s="586">
        <v>54.363818000000002</v>
      </c>
      <c r="E1283" s="586">
        <v>-5.4860329999999999</v>
      </c>
      <c r="F1283" s="116">
        <f t="shared" si="45"/>
        <v>3267.5</v>
      </c>
      <c r="G1283" s="192">
        <v>3495</v>
      </c>
      <c r="H1283" s="192">
        <v>3040</v>
      </c>
      <c r="I1283" s="76" t="s">
        <v>189</v>
      </c>
      <c r="J1283" s="108" t="s">
        <v>1142</v>
      </c>
      <c r="K1283" s="108" t="s">
        <v>1077</v>
      </c>
      <c r="L1283" s="638" t="s">
        <v>14</v>
      </c>
      <c r="M1283" s="108" t="s">
        <v>1143</v>
      </c>
      <c r="N1283" s="230" t="s">
        <v>1144</v>
      </c>
      <c r="O1283" s="657" t="s">
        <v>1145</v>
      </c>
    </row>
    <row r="1284" spans="1:15" s="63" customFormat="1" ht="12.6" customHeight="1" x14ac:dyDescent="0.25">
      <c r="A1284" s="585" t="s">
        <v>975</v>
      </c>
      <c r="B1284" s="367" t="s">
        <v>1146</v>
      </c>
      <c r="C1284" s="252" t="s">
        <v>1075</v>
      </c>
      <c r="D1284" s="586">
        <v>53.694833000000003</v>
      </c>
      <c r="E1284" s="586">
        <v>-6.4756960000000001</v>
      </c>
      <c r="F1284" s="116">
        <f t="shared" si="45"/>
        <v>3183</v>
      </c>
      <c r="G1284" s="192">
        <v>3338</v>
      </c>
      <c r="H1284" s="192">
        <v>3028</v>
      </c>
      <c r="I1284" s="76" t="s">
        <v>424</v>
      </c>
      <c r="J1284" s="108" t="s">
        <v>1114</v>
      </c>
      <c r="K1284" s="108" t="s">
        <v>1077</v>
      </c>
      <c r="L1284" s="638" t="s">
        <v>14</v>
      </c>
      <c r="M1284" s="108" t="s">
        <v>1147</v>
      </c>
      <c r="N1284" s="230" t="s">
        <v>1148</v>
      </c>
      <c r="O1284" s="657" t="s">
        <v>1110</v>
      </c>
    </row>
    <row r="1285" spans="1:15" s="63" customFormat="1" ht="13.9" customHeight="1" x14ac:dyDescent="0.25">
      <c r="A1285" s="585" t="s">
        <v>975</v>
      </c>
      <c r="B1285" s="367" t="s">
        <v>4534</v>
      </c>
      <c r="C1285" s="252" t="s">
        <v>1075</v>
      </c>
      <c r="D1285" s="586">
        <v>53.695250000000001</v>
      </c>
      <c r="E1285" s="586">
        <v>-6.475104</v>
      </c>
      <c r="F1285" s="116">
        <f t="shared" si="45"/>
        <v>3121</v>
      </c>
      <c r="G1285" s="192">
        <v>3320</v>
      </c>
      <c r="H1285" s="192">
        <v>2922</v>
      </c>
      <c r="I1285" s="76" t="s">
        <v>503</v>
      </c>
      <c r="J1285" s="108" t="s">
        <v>69</v>
      </c>
      <c r="K1285" s="108" t="s">
        <v>1077</v>
      </c>
      <c r="L1285" s="638" t="s">
        <v>2</v>
      </c>
      <c r="M1285" s="108" t="s">
        <v>1149</v>
      </c>
      <c r="N1285" s="230" t="s">
        <v>1150</v>
      </c>
      <c r="O1285" s="657" t="s">
        <v>1151</v>
      </c>
    </row>
    <row r="1286" spans="1:15" s="63" customFormat="1" x14ac:dyDescent="0.25">
      <c r="A1286" s="585" t="s">
        <v>975</v>
      </c>
      <c r="B1286" s="367" t="s">
        <v>1152</v>
      </c>
      <c r="C1286" s="252" t="s">
        <v>1075</v>
      </c>
      <c r="D1286" s="586">
        <v>52.985498999999997</v>
      </c>
      <c r="E1286" s="586">
        <v>-9.1114540000000002</v>
      </c>
      <c r="F1286" s="116">
        <f t="shared" si="45"/>
        <v>3492</v>
      </c>
      <c r="G1286" s="192">
        <v>3631</v>
      </c>
      <c r="H1286" s="192">
        <v>3353</v>
      </c>
      <c r="I1286" s="76" t="s">
        <v>784</v>
      </c>
      <c r="J1286" s="108" t="s">
        <v>1092</v>
      </c>
      <c r="K1286" s="108" t="s">
        <v>1077</v>
      </c>
      <c r="L1286" s="638" t="s">
        <v>14</v>
      </c>
      <c r="M1286" s="108" t="s">
        <v>1153</v>
      </c>
      <c r="N1286" s="230" t="s">
        <v>1154</v>
      </c>
      <c r="O1286" s="657" t="s">
        <v>1129</v>
      </c>
    </row>
    <row r="1287" spans="1:15" s="63" customFormat="1" ht="12.6" customHeight="1" x14ac:dyDescent="0.25">
      <c r="A1287" s="585" t="s">
        <v>975</v>
      </c>
      <c r="B1287" s="367" t="s">
        <v>1152</v>
      </c>
      <c r="C1287" s="252" t="s">
        <v>1075</v>
      </c>
      <c r="D1287" s="586">
        <v>52.985498999999997</v>
      </c>
      <c r="E1287" s="586">
        <v>-9.1114540000000002</v>
      </c>
      <c r="F1287" s="116">
        <f t="shared" si="45"/>
        <v>3512</v>
      </c>
      <c r="G1287" s="192">
        <v>3647</v>
      </c>
      <c r="H1287" s="192">
        <v>3377</v>
      </c>
      <c r="I1287" s="76" t="s">
        <v>409</v>
      </c>
      <c r="J1287" s="108" t="s">
        <v>69</v>
      </c>
      <c r="K1287" s="108" t="s">
        <v>1077</v>
      </c>
      <c r="L1287" s="638" t="s">
        <v>2</v>
      </c>
      <c r="M1287" s="108" t="s">
        <v>1155</v>
      </c>
      <c r="N1287" s="230" t="s">
        <v>1156</v>
      </c>
      <c r="O1287" s="657" t="s">
        <v>1129</v>
      </c>
    </row>
    <row r="1288" spans="1:15" s="63" customFormat="1" ht="15.75" thickBot="1" x14ac:dyDescent="0.3">
      <c r="A1288" s="585" t="s">
        <v>975</v>
      </c>
      <c r="B1288" s="367" t="s">
        <v>1152</v>
      </c>
      <c r="C1288" s="252" t="s">
        <v>1075</v>
      </c>
      <c r="D1288" s="586">
        <v>52.985498999999997</v>
      </c>
      <c r="E1288" s="586">
        <v>-9.1114540000000002</v>
      </c>
      <c r="F1288" s="116">
        <f t="shared" si="45"/>
        <v>3436.5</v>
      </c>
      <c r="G1288" s="192">
        <v>3518</v>
      </c>
      <c r="H1288" s="192">
        <v>3355</v>
      </c>
      <c r="I1288" s="76" t="s">
        <v>503</v>
      </c>
      <c r="J1288" s="108" t="s">
        <v>1096</v>
      </c>
      <c r="K1288" s="108" t="s">
        <v>1077</v>
      </c>
      <c r="L1288" s="638" t="s">
        <v>14</v>
      </c>
      <c r="M1288" s="108" t="s">
        <v>1157</v>
      </c>
      <c r="N1288" s="230" t="s">
        <v>1158</v>
      </c>
      <c r="O1288" s="657" t="s">
        <v>1129</v>
      </c>
    </row>
    <row r="1289" spans="1:15" s="63" customFormat="1" ht="15.75" thickBot="1" x14ac:dyDescent="0.3">
      <c r="A1289" s="585" t="s">
        <v>975</v>
      </c>
      <c r="B1289" s="367" t="s">
        <v>1152</v>
      </c>
      <c r="C1289" s="252" t="s">
        <v>1075</v>
      </c>
      <c r="D1289" s="586">
        <v>52.985498999999997</v>
      </c>
      <c r="E1289" s="586">
        <v>-9.1114540000000002</v>
      </c>
      <c r="F1289" s="116">
        <f t="shared" si="45"/>
        <v>3503</v>
      </c>
      <c r="G1289" s="192">
        <v>3632</v>
      </c>
      <c r="H1289" s="192">
        <v>3374</v>
      </c>
      <c r="I1289" s="178" t="s">
        <v>915</v>
      </c>
      <c r="J1289" s="108" t="s">
        <v>1096</v>
      </c>
      <c r="K1289" s="108" t="s">
        <v>1077</v>
      </c>
      <c r="L1289" s="638" t="s">
        <v>14</v>
      </c>
      <c r="M1289" s="108" t="s">
        <v>1159</v>
      </c>
      <c r="N1289" s="230" t="s">
        <v>1160</v>
      </c>
      <c r="O1289" s="657" t="s">
        <v>1129</v>
      </c>
    </row>
    <row r="1290" spans="1:15" s="63" customFormat="1" ht="15.75" thickBot="1" x14ac:dyDescent="0.3">
      <c r="A1290" s="585" t="s">
        <v>975</v>
      </c>
      <c r="B1290" s="367" t="s">
        <v>1152</v>
      </c>
      <c r="C1290" s="252" t="s">
        <v>1075</v>
      </c>
      <c r="D1290" s="586">
        <v>52.985498999999997</v>
      </c>
      <c r="E1290" s="586">
        <v>-9.1114540000000002</v>
      </c>
      <c r="F1290" s="116">
        <f t="shared" si="45"/>
        <v>3708</v>
      </c>
      <c r="G1290" s="192">
        <v>3774</v>
      </c>
      <c r="H1290" s="192">
        <v>3642</v>
      </c>
      <c r="I1290" s="76" t="s">
        <v>835</v>
      </c>
      <c r="J1290" s="108" t="s">
        <v>69</v>
      </c>
      <c r="K1290" s="108" t="s">
        <v>1097</v>
      </c>
      <c r="L1290" s="17" t="s">
        <v>2</v>
      </c>
      <c r="M1290" s="108" t="s">
        <v>1161</v>
      </c>
      <c r="N1290" s="230" t="s">
        <v>1162</v>
      </c>
      <c r="O1290" s="657" t="s">
        <v>1129</v>
      </c>
    </row>
    <row r="1291" spans="1:15" s="63" customFormat="1" ht="15.75" thickBot="1" x14ac:dyDescent="0.3">
      <c r="A1291" s="585" t="s">
        <v>975</v>
      </c>
      <c r="B1291" s="367" t="s">
        <v>1152</v>
      </c>
      <c r="C1291" s="252" t="s">
        <v>1075</v>
      </c>
      <c r="D1291" s="586">
        <v>52.985498999999997</v>
      </c>
      <c r="E1291" s="586">
        <v>-9.1114540000000002</v>
      </c>
      <c r="F1291" s="116">
        <f t="shared" si="45"/>
        <v>3507</v>
      </c>
      <c r="G1291" s="192">
        <v>3636</v>
      </c>
      <c r="H1291" s="192">
        <v>3378</v>
      </c>
      <c r="I1291" s="178" t="s">
        <v>430</v>
      </c>
      <c r="J1291" s="108" t="s">
        <v>1126</v>
      </c>
      <c r="K1291" s="108" t="s">
        <v>1077</v>
      </c>
      <c r="L1291" s="638" t="s">
        <v>14</v>
      </c>
      <c r="M1291" s="108" t="s">
        <v>1163</v>
      </c>
      <c r="N1291" s="230" t="s">
        <v>1164</v>
      </c>
      <c r="O1291" s="657" t="s">
        <v>1129</v>
      </c>
    </row>
    <row r="1292" spans="1:15" s="63" customFormat="1" x14ac:dyDescent="0.25">
      <c r="A1292" s="585" t="s">
        <v>975</v>
      </c>
      <c r="B1292" s="367" t="s">
        <v>1152</v>
      </c>
      <c r="C1292" s="252" t="s">
        <v>1075</v>
      </c>
      <c r="D1292" s="586">
        <v>52.985498999999997</v>
      </c>
      <c r="E1292" s="586">
        <v>-9.1114540000000002</v>
      </c>
      <c r="F1292" s="116">
        <f t="shared" si="45"/>
        <v>3496.5</v>
      </c>
      <c r="G1292" s="192">
        <v>3631</v>
      </c>
      <c r="H1292" s="192">
        <v>3362</v>
      </c>
      <c r="I1292" s="76" t="s">
        <v>7</v>
      </c>
      <c r="J1292" s="108" t="s">
        <v>1165</v>
      </c>
      <c r="K1292" s="108" t="s">
        <v>1077</v>
      </c>
      <c r="L1292" s="638" t="s">
        <v>14</v>
      </c>
      <c r="M1292" s="108" t="s">
        <v>1166</v>
      </c>
      <c r="N1292" s="230" t="s">
        <v>1167</v>
      </c>
      <c r="O1292" s="657" t="s">
        <v>1129</v>
      </c>
    </row>
    <row r="1293" spans="1:15" s="63" customFormat="1" x14ac:dyDescent="0.25">
      <c r="A1293" s="585" t="s">
        <v>975</v>
      </c>
      <c r="B1293" s="367" t="s">
        <v>1152</v>
      </c>
      <c r="C1293" s="252" t="s">
        <v>1075</v>
      </c>
      <c r="D1293" s="586">
        <v>52.985498999999997</v>
      </c>
      <c r="E1293" s="586">
        <v>-9.1114540000000002</v>
      </c>
      <c r="F1293" s="116">
        <f t="shared" si="45"/>
        <v>3411</v>
      </c>
      <c r="G1293" s="192">
        <v>3626</v>
      </c>
      <c r="H1293" s="192">
        <v>3196</v>
      </c>
      <c r="I1293" s="76" t="s">
        <v>1168</v>
      </c>
      <c r="J1293" s="108" t="s">
        <v>1096</v>
      </c>
      <c r="K1293" s="108" t="s">
        <v>1077</v>
      </c>
      <c r="L1293" s="638" t="s">
        <v>14</v>
      </c>
      <c r="M1293" s="108" t="s">
        <v>1169</v>
      </c>
      <c r="N1293" s="230" t="s">
        <v>1170</v>
      </c>
      <c r="O1293" s="657" t="s">
        <v>1129</v>
      </c>
    </row>
    <row r="1294" spans="1:15" s="63" customFormat="1" x14ac:dyDescent="0.25">
      <c r="A1294" s="585" t="s">
        <v>975</v>
      </c>
      <c r="B1294" s="367" t="s">
        <v>1152</v>
      </c>
      <c r="C1294" s="252" t="s">
        <v>1075</v>
      </c>
      <c r="D1294" s="586">
        <v>52.985498999999997</v>
      </c>
      <c r="E1294" s="586">
        <v>-9.1114540000000002</v>
      </c>
      <c r="F1294" s="116">
        <f t="shared" si="45"/>
        <v>3086.5</v>
      </c>
      <c r="G1294" s="192">
        <v>3263</v>
      </c>
      <c r="H1294" s="192">
        <v>2910</v>
      </c>
      <c r="I1294" s="76" t="s">
        <v>559</v>
      </c>
      <c r="J1294" s="108" t="s">
        <v>1171</v>
      </c>
      <c r="K1294" s="108" t="s">
        <v>1077</v>
      </c>
      <c r="L1294" s="638" t="s">
        <v>14</v>
      </c>
      <c r="M1294" s="108" t="s">
        <v>1172</v>
      </c>
      <c r="N1294" s="230" t="s">
        <v>1173</v>
      </c>
      <c r="O1294" s="657" t="s">
        <v>1129</v>
      </c>
    </row>
    <row r="1295" spans="1:15" s="63" customFormat="1" x14ac:dyDescent="0.25">
      <c r="A1295" s="585" t="s">
        <v>975</v>
      </c>
      <c r="B1295" s="367" t="s">
        <v>1152</v>
      </c>
      <c r="C1295" s="252" t="s">
        <v>1075</v>
      </c>
      <c r="D1295" s="586">
        <v>52.985498999999997</v>
      </c>
      <c r="E1295" s="586">
        <v>-9.1114540000000002</v>
      </c>
      <c r="F1295" s="116">
        <f t="shared" si="45"/>
        <v>3377.5</v>
      </c>
      <c r="G1295" s="192">
        <v>3617</v>
      </c>
      <c r="H1295" s="192">
        <v>3138</v>
      </c>
      <c r="I1295" s="76" t="s">
        <v>452</v>
      </c>
      <c r="J1295" s="108" t="s">
        <v>69</v>
      </c>
      <c r="K1295" s="108" t="s">
        <v>1077</v>
      </c>
      <c r="L1295" s="638" t="s">
        <v>2</v>
      </c>
      <c r="M1295" s="108" t="s">
        <v>1174</v>
      </c>
      <c r="N1295" s="230" t="s">
        <v>1175</v>
      </c>
      <c r="O1295" s="657" t="s">
        <v>1129</v>
      </c>
    </row>
    <row r="1296" spans="1:15" s="63" customFormat="1" x14ac:dyDescent="0.25">
      <c r="A1296" s="585" t="s">
        <v>975</v>
      </c>
      <c r="B1296" s="367" t="s">
        <v>1152</v>
      </c>
      <c r="C1296" s="252" t="s">
        <v>1075</v>
      </c>
      <c r="D1296" s="586">
        <v>52.985498999999997</v>
      </c>
      <c r="E1296" s="586">
        <v>-9.1114540000000002</v>
      </c>
      <c r="F1296" s="116">
        <f t="shared" si="45"/>
        <v>3508.5</v>
      </c>
      <c r="G1296" s="192">
        <v>3642</v>
      </c>
      <c r="H1296" s="192">
        <v>3375</v>
      </c>
      <c r="I1296" s="76" t="s">
        <v>1081</v>
      </c>
      <c r="J1296" s="108" t="s">
        <v>1096</v>
      </c>
      <c r="K1296" s="108" t="s">
        <v>1077</v>
      </c>
      <c r="L1296" s="638" t="s">
        <v>14</v>
      </c>
      <c r="M1296" s="108" t="s">
        <v>1176</v>
      </c>
      <c r="N1296" s="230" t="s">
        <v>1177</v>
      </c>
      <c r="O1296" s="657" t="s">
        <v>1129</v>
      </c>
    </row>
    <row r="1297" spans="1:15" s="63" customFormat="1" ht="15.75" thickBot="1" x14ac:dyDescent="0.3">
      <c r="A1297" s="585" t="s">
        <v>975</v>
      </c>
      <c r="B1297" s="367" t="s">
        <v>1178</v>
      </c>
      <c r="C1297" s="252" t="s">
        <v>1075</v>
      </c>
      <c r="D1297" s="586">
        <v>53.048659999999998</v>
      </c>
      <c r="E1297" s="586">
        <v>-9.1400489999999994</v>
      </c>
      <c r="F1297" s="116">
        <f t="shared" si="45"/>
        <v>3613</v>
      </c>
      <c r="G1297" s="192">
        <v>3704</v>
      </c>
      <c r="H1297" s="192">
        <v>3522</v>
      </c>
      <c r="I1297" s="76" t="s">
        <v>1179</v>
      </c>
      <c r="J1297" s="108" t="s">
        <v>1119</v>
      </c>
      <c r="K1297" s="108" t="s">
        <v>1097</v>
      </c>
      <c r="L1297" s="17" t="s">
        <v>14</v>
      </c>
      <c r="M1297" s="108" t="s">
        <v>1180</v>
      </c>
      <c r="N1297" s="230" t="s">
        <v>1181</v>
      </c>
      <c r="O1297" s="657" t="s">
        <v>1182</v>
      </c>
    </row>
    <row r="1298" spans="1:15" s="63" customFormat="1" ht="15.75" thickBot="1" x14ac:dyDescent="0.3">
      <c r="A1298" s="585" t="s">
        <v>975</v>
      </c>
      <c r="B1298" s="367" t="s">
        <v>1178</v>
      </c>
      <c r="C1298" s="252" t="s">
        <v>1075</v>
      </c>
      <c r="D1298" s="586">
        <v>53.048659999999998</v>
      </c>
      <c r="E1298" s="586">
        <v>-9.1400489999999994</v>
      </c>
      <c r="F1298" s="116">
        <f t="shared" si="45"/>
        <v>3505.5</v>
      </c>
      <c r="G1298" s="192">
        <v>3635</v>
      </c>
      <c r="H1298" s="192">
        <v>3376</v>
      </c>
      <c r="I1298" s="178" t="s">
        <v>787</v>
      </c>
      <c r="J1298" s="108" t="s">
        <v>1082</v>
      </c>
      <c r="K1298" s="108" t="s">
        <v>1077</v>
      </c>
      <c r="L1298" s="638" t="s">
        <v>14</v>
      </c>
      <c r="M1298" s="108" t="s">
        <v>1183</v>
      </c>
      <c r="N1298" s="230" t="s">
        <v>1184</v>
      </c>
      <c r="O1298" s="657" t="s">
        <v>1182</v>
      </c>
    </row>
    <row r="1299" spans="1:15" s="63" customFormat="1" ht="15.75" thickBot="1" x14ac:dyDescent="0.3">
      <c r="A1299" s="585" t="s">
        <v>975</v>
      </c>
      <c r="B1299" s="367" t="s">
        <v>1178</v>
      </c>
      <c r="C1299" s="252" t="s">
        <v>1075</v>
      </c>
      <c r="D1299" s="587">
        <v>53.048659999999998</v>
      </c>
      <c r="E1299" s="587">
        <v>-9.1400489999999994</v>
      </c>
      <c r="F1299" s="116">
        <f t="shared" si="45"/>
        <v>3804.5</v>
      </c>
      <c r="G1299" s="192">
        <v>3944</v>
      </c>
      <c r="H1299" s="192">
        <v>3665</v>
      </c>
      <c r="I1299" s="76" t="s">
        <v>490</v>
      </c>
      <c r="J1299" s="108" t="s">
        <v>1185</v>
      </c>
      <c r="K1299" s="108" t="s">
        <v>145</v>
      </c>
      <c r="L1299" s="17" t="s">
        <v>14</v>
      </c>
      <c r="M1299" s="108" t="s">
        <v>1186</v>
      </c>
      <c r="N1299" s="230" t="s">
        <v>1187</v>
      </c>
      <c r="O1299" s="657" t="s">
        <v>1182</v>
      </c>
    </row>
    <row r="1300" spans="1:15" s="63" customFormat="1" ht="15.75" thickBot="1" x14ac:dyDescent="0.3">
      <c r="A1300" s="585" t="s">
        <v>975</v>
      </c>
      <c r="B1300" s="367" t="s">
        <v>1178</v>
      </c>
      <c r="C1300" s="252" t="s">
        <v>1075</v>
      </c>
      <c r="D1300" s="586">
        <v>53.048659999999998</v>
      </c>
      <c r="E1300" s="586">
        <v>-9.1400489999999994</v>
      </c>
      <c r="F1300" s="116">
        <f t="shared" si="45"/>
        <v>3801</v>
      </c>
      <c r="G1300" s="192">
        <v>3941</v>
      </c>
      <c r="H1300" s="192">
        <v>3661</v>
      </c>
      <c r="I1300" s="178" t="s">
        <v>481</v>
      </c>
      <c r="J1300" s="108" t="s">
        <v>1092</v>
      </c>
      <c r="K1300" s="108" t="s">
        <v>145</v>
      </c>
      <c r="L1300" s="17" t="s">
        <v>14</v>
      </c>
      <c r="M1300" s="108" t="s">
        <v>1188</v>
      </c>
      <c r="N1300" s="230" t="s">
        <v>1189</v>
      </c>
      <c r="O1300" s="657" t="s">
        <v>1182</v>
      </c>
    </row>
    <row r="1301" spans="1:15" s="63" customFormat="1" x14ac:dyDescent="0.25">
      <c r="A1301" s="585" t="s">
        <v>975</v>
      </c>
      <c r="B1301" s="367" t="s">
        <v>1178</v>
      </c>
      <c r="C1301" s="252" t="s">
        <v>1075</v>
      </c>
      <c r="D1301" s="586">
        <v>53.048659999999998</v>
      </c>
      <c r="E1301" s="586">
        <v>-9.1400489999999994</v>
      </c>
      <c r="F1301" s="116">
        <f t="shared" si="45"/>
        <v>3505.5</v>
      </c>
      <c r="G1301" s="192">
        <v>3635</v>
      </c>
      <c r="H1301" s="192">
        <v>3376</v>
      </c>
      <c r="I1301" s="76" t="s">
        <v>18</v>
      </c>
      <c r="J1301" s="108" t="s">
        <v>1096</v>
      </c>
      <c r="K1301" s="108" t="s">
        <v>1077</v>
      </c>
      <c r="L1301" s="638" t="s">
        <v>14</v>
      </c>
      <c r="M1301" s="108" t="s">
        <v>1190</v>
      </c>
      <c r="N1301" s="230" t="s">
        <v>1191</v>
      </c>
      <c r="O1301" s="657" t="s">
        <v>1182</v>
      </c>
    </row>
    <row r="1302" spans="1:15" s="63" customFormat="1" x14ac:dyDescent="0.25">
      <c r="A1302" s="585" t="s">
        <v>975</v>
      </c>
      <c r="B1302" s="367" t="s">
        <v>1178</v>
      </c>
      <c r="C1302" s="252" t="s">
        <v>1075</v>
      </c>
      <c r="D1302" s="586">
        <v>53.048659999999998</v>
      </c>
      <c r="E1302" s="586">
        <v>-9.1400489999999994</v>
      </c>
      <c r="F1302" s="116">
        <f t="shared" si="45"/>
        <v>3500</v>
      </c>
      <c r="G1302" s="192">
        <v>3629</v>
      </c>
      <c r="H1302" s="192">
        <v>3371</v>
      </c>
      <c r="I1302" s="76" t="s">
        <v>1192</v>
      </c>
      <c r="J1302" s="108" t="s">
        <v>1193</v>
      </c>
      <c r="K1302" s="108" t="s">
        <v>1077</v>
      </c>
      <c r="L1302" s="638" t="s">
        <v>14</v>
      </c>
      <c r="M1302" s="108" t="s">
        <v>1194</v>
      </c>
      <c r="N1302" s="230" t="s">
        <v>1195</v>
      </c>
      <c r="O1302" s="657" t="s">
        <v>1182</v>
      </c>
    </row>
    <row r="1303" spans="1:15" s="63" customFormat="1" x14ac:dyDescent="0.25">
      <c r="A1303" s="585" t="s">
        <v>975</v>
      </c>
      <c r="B1303" s="367" t="s">
        <v>1178</v>
      </c>
      <c r="C1303" s="252" t="s">
        <v>1075</v>
      </c>
      <c r="D1303" s="586">
        <v>53.048659999999998</v>
      </c>
      <c r="E1303" s="586">
        <v>-9.1400489999999994</v>
      </c>
      <c r="F1303" s="116">
        <f t="shared" si="45"/>
        <v>3796</v>
      </c>
      <c r="G1303" s="192">
        <v>3926</v>
      </c>
      <c r="H1303" s="192">
        <v>3666</v>
      </c>
      <c r="I1303" s="76" t="s">
        <v>1196</v>
      </c>
      <c r="J1303" s="108" t="s">
        <v>1197</v>
      </c>
      <c r="K1303" s="108" t="s">
        <v>145</v>
      </c>
      <c r="L1303" s="17" t="s">
        <v>14</v>
      </c>
      <c r="M1303" s="108" t="s">
        <v>1198</v>
      </c>
      <c r="N1303" s="230" t="s">
        <v>1199</v>
      </c>
      <c r="O1303" s="657" t="s">
        <v>1182</v>
      </c>
    </row>
    <row r="1304" spans="1:15" s="63" customFormat="1" x14ac:dyDescent="0.25">
      <c r="A1304" s="585" t="s">
        <v>975</v>
      </c>
      <c r="B1304" s="367" t="s">
        <v>1178</v>
      </c>
      <c r="C1304" s="252" t="s">
        <v>1075</v>
      </c>
      <c r="D1304" s="586">
        <v>53.048659999999998</v>
      </c>
      <c r="E1304" s="586">
        <v>-9.1400489999999994</v>
      </c>
      <c r="F1304" s="116">
        <f t="shared" si="45"/>
        <v>3615.5</v>
      </c>
      <c r="G1304" s="192">
        <v>3696</v>
      </c>
      <c r="H1304" s="192">
        <v>3535</v>
      </c>
      <c r="I1304" s="76" t="s">
        <v>1200</v>
      </c>
      <c r="J1304" s="108" t="s">
        <v>1135</v>
      </c>
      <c r="K1304" s="108" t="s">
        <v>1097</v>
      </c>
      <c r="L1304" s="17" t="s">
        <v>14</v>
      </c>
      <c r="M1304" s="108" t="s">
        <v>1201</v>
      </c>
      <c r="N1304" s="230" t="s">
        <v>1202</v>
      </c>
      <c r="O1304" s="657" t="s">
        <v>1182</v>
      </c>
    </row>
    <row r="1305" spans="1:15" s="63" customFormat="1" x14ac:dyDescent="0.25">
      <c r="A1305" s="585" t="s">
        <v>975</v>
      </c>
      <c r="B1305" s="367" t="s">
        <v>1178</v>
      </c>
      <c r="C1305" s="252" t="s">
        <v>1075</v>
      </c>
      <c r="D1305" s="587">
        <v>53.048659999999998</v>
      </c>
      <c r="E1305" s="587">
        <v>-9.1400489999999994</v>
      </c>
      <c r="F1305" s="116">
        <f t="shared" si="45"/>
        <v>3821.5</v>
      </c>
      <c r="G1305" s="192">
        <v>3940</v>
      </c>
      <c r="H1305" s="192">
        <v>3703</v>
      </c>
      <c r="I1305" s="76" t="s">
        <v>1203</v>
      </c>
      <c r="J1305" s="108" t="s">
        <v>69</v>
      </c>
      <c r="K1305" s="108" t="s">
        <v>145</v>
      </c>
      <c r="L1305" s="17" t="s">
        <v>2</v>
      </c>
      <c r="M1305" s="108" t="s">
        <v>1204</v>
      </c>
      <c r="N1305" s="230" t="s">
        <v>1205</v>
      </c>
      <c r="O1305" s="657" t="s">
        <v>1182</v>
      </c>
    </row>
    <row r="1306" spans="1:15" s="63" customFormat="1" x14ac:dyDescent="0.25">
      <c r="A1306" s="585" t="s">
        <v>975</v>
      </c>
      <c r="B1306" s="367" t="s">
        <v>1178</v>
      </c>
      <c r="C1306" s="252" t="s">
        <v>1075</v>
      </c>
      <c r="D1306" s="586">
        <v>53.048659999999998</v>
      </c>
      <c r="E1306" s="586">
        <v>-9.1400489999999994</v>
      </c>
      <c r="F1306" s="116">
        <f t="shared" si="45"/>
        <v>3409.5</v>
      </c>
      <c r="G1306" s="192">
        <v>3621</v>
      </c>
      <c r="H1306" s="192">
        <v>3198</v>
      </c>
      <c r="I1306" s="76" t="s">
        <v>18</v>
      </c>
      <c r="J1306" s="108" t="s">
        <v>1135</v>
      </c>
      <c r="K1306" s="108" t="s">
        <v>1077</v>
      </c>
      <c r="L1306" s="638" t="s">
        <v>14</v>
      </c>
      <c r="M1306" s="108" t="s">
        <v>1206</v>
      </c>
      <c r="N1306" s="230" t="s">
        <v>1207</v>
      </c>
      <c r="O1306" s="657" t="s">
        <v>1182</v>
      </c>
    </row>
    <row r="1307" spans="1:15" s="63" customFormat="1" ht="15.75" thickBot="1" x14ac:dyDescent="0.3">
      <c r="A1307" s="585" t="s">
        <v>975</v>
      </c>
      <c r="B1307" s="367" t="s">
        <v>1178</v>
      </c>
      <c r="C1307" s="252" t="s">
        <v>1075</v>
      </c>
      <c r="D1307" s="586">
        <v>53.048659999999998</v>
      </c>
      <c r="E1307" s="586">
        <v>-9.1400489999999994</v>
      </c>
      <c r="F1307" s="116">
        <f t="shared" si="45"/>
        <v>3620</v>
      </c>
      <c r="G1307" s="192">
        <v>3704</v>
      </c>
      <c r="H1307" s="192">
        <v>3536</v>
      </c>
      <c r="I1307" s="76" t="s">
        <v>10</v>
      </c>
      <c r="J1307" s="108" t="s">
        <v>1208</v>
      </c>
      <c r="K1307" s="108" t="s">
        <v>1097</v>
      </c>
      <c r="L1307" s="638" t="s">
        <v>14</v>
      </c>
      <c r="M1307" s="108" t="s">
        <v>1209</v>
      </c>
      <c r="N1307" s="230" t="s">
        <v>1210</v>
      </c>
      <c r="O1307" s="657" t="s">
        <v>1182</v>
      </c>
    </row>
    <row r="1308" spans="1:15" s="63" customFormat="1" ht="15.75" thickBot="1" x14ac:dyDescent="0.3">
      <c r="A1308" s="585" t="s">
        <v>975</v>
      </c>
      <c r="B1308" s="367" t="s">
        <v>1178</v>
      </c>
      <c r="C1308" s="252" t="s">
        <v>1075</v>
      </c>
      <c r="D1308" s="586">
        <v>53.048659999999998</v>
      </c>
      <c r="E1308" s="586">
        <v>-9.1400489999999994</v>
      </c>
      <c r="F1308" s="116">
        <f t="shared" si="45"/>
        <v>3503.5</v>
      </c>
      <c r="G1308" s="192">
        <v>3633</v>
      </c>
      <c r="H1308" s="192">
        <v>3374</v>
      </c>
      <c r="I1308" s="178" t="s">
        <v>430</v>
      </c>
      <c r="J1308" s="108" t="s">
        <v>69</v>
      </c>
      <c r="K1308" s="108" t="s">
        <v>1077</v>
      </c>
      <c r="L1308" s="638" t="s">
        <v>2</v>
      </c>
      <c r="M1308" s="108" t="s">
        <v>1211</v>
      </c>
      <c r="N1308" s="230" t="s">
        <v>1212</v>
      </c>
      <c r="O1308" s="657" t="s">
        <v>1182</v>
      </c>
    </row>
    <row r="1309" spans="1:15" s="89" customFormat="1" x14ac:dyDescent="0.25">
      <c r="A1309" s="665" t="s">
        <v>4226</v>
      </c>
      <c r="B1309" s="660"/>
      <c r="C1309" s="661"/>
      <c r="D1309" s="684">
        <f>AVERAGE(D1254:D1308)</f>
        <v>53.501350218181784</v>
      </c>
      <c r="E1309" s="684">
        <f>AVERAGE(E1254:E1308)</f>
        <v>-8.5260643818181734</v>
      </c>
      <c r="F1309" s="685">
        <f>AVERAGE(F1267:F1308)</f>
        <v>3395.5333333333333</v>
      </c>
      <c r="G1309" s="588"/>
      <c r="H1309" s="113"/>
      <c r="I1309" s="384"/>
      <c r="J1309" s="605"/>
      <c r="K1309" s="232"/>
      <c r="L1309" s="588"/>
      <c r="M1309" s="232"/>
      <c r="N1309" s="354"/>
      <c r="O1309" s="624"/>
    </row>
    <row r="1310" spans="1:15" s="2" customFormat="1" x14ac:dyDescent="0.25">
      <c r="A1310" s="87" t="s">
        <v>4536</v>
      </c>
      <c r="B1310" s="367"/>
      <c r="C1310" s="404"/>
      <c r="D1310" s="14"/>
      <c r="E1310" s="14"/>
      <c r="F1310" s="251"/>
      <c r="G1310" s="12"/>
      <c r="H1310" s="113"/>
      <c r="I1310" s="281"/>
      <c r="J1310" s="281"/>
      <c r="K1310" s="370"/>
      <c r="L1310" s="29"/>
      <c r="M1310" s="232"/>
      <c r="N1310" s="354"/>
      <c r="O1310" s="325"/>
    </row>
    <row r="1311" spans="1:15" s="2" customFormat="1" x14ac:dyDescent="0.25">
      <c r="A1311" s="87" t="s">
        <v>4574</v>
      </c>
      <c r="B1311" s="367"/>
      <c r="C1311" s="404"/>
      <c r="D1311" s="14"/>
      <c r="E1311" s="14"/>
      <c r="F1311" s="251"/>
      <c r="G1311" s="12"/>
      <c r="H1311" s="113"/>
      <c r="I1311" s="281"/>
      <c r="J1311" s="281"/>
      <c r="K1311" s="370"/>
      <c r="L1311" s="29"/>
      <c r="M1311" s="232"/>
      <c r="N1311" s="354"/>
      <c r="O1311" s="325"/>
    </row>
    <row r="1312" spans="1:15" s="2" customFormat="1" x14ac:dyDescent="0.25">
      <c r="A1312" s="87"/>
      <c r="B1312" s="367"/>
      <c r="C1312" s="404"/>
      <c r="D1312" s="14"/>
      <c r="E1312" s="14"/>
      <c r="F1312" s="251"/>
      <c r="G1312" s="12"/>
      <c r="H1312" s="113"/>
      <c r="I1312" s="281"/>
      <c r="J1312" s="281"/>
      <c r="K1312" s="370"/>
      <c r="L1312" s="29"/>
      <c r="M1312" s="232"/>
      <c r="N1312" s="354"/>
      <c r="O1312" s="325"/>
    </row>
    <row r="1313" spans="1:15" ht="31.5" x14ac:dyDescent="0.5">
      <c r="A1313" s="401" t="s">
        <v>4355</v>
      </c>
      <c r="B1313" s="367"/>
      <c r="C1313" s="404"/>
      <c r="D1313" s="14"/>
      <c r="E1313" s="14"/>
      <c r="F1313" s="385"/>
      <c r="G1313" s="12"/>
      <c r="H1313" s="113"/>
      <c r="I1313" s="281"/>
      <c r="J1313" s="281"/>
      <c r="K1313" s="370"/>
      <c r="L1313" s="29"/>
      <c r="M1313" s="232"/>
      <c r="N1313" s="354"/>
      <c r="O1313" s="325"/>
    </row>
    <row r="1314" spans="1:15" s="415" customFormat="1" ht="15" customHeight="1" x14ac:dyDescent="0.25">
      <c r="A1314" s="411"/>
      <c r="B1314" s="566"/>
      <c r="C1314" s="812"/>
      <c r="D1314" s="813"/>
      <c r="E1314" s="813"/>
      <c r="F1314" s="814"/>
      <c r="G1314" s="815"/>
      <c r="H1314" s="114"/>
      <c r="I1314" s="816"/>
      <c r="J1314" s="816"/>
      <c r="K1314" s="370"/>
      <c r="L1314" s="817"/>
      <c r="M1314" s="370"/>
      <c r="N1314" s="399"/>
      <c r="O1314" s="614"/>
    </row>
    <row r="1315" spans="1:15" ht="16.5" customHeight="1" x14ac:dyDescent="0.25">
      <c r="A1315" s="665" t="s">
        <v>4155</v>
      </c>
      <c r="B1315" s="367"/>
      <c r="C1315" s="404"/>
      <c r="D1315" s="14"/>
      <c r="E1315" s="14"/>
      <c r="F1315" s="385"/>
      <c r="G1315" s="12"/>
      <c r="H1315" s="113"/>
      <c r="I1315" s="281"/>
      <c r="J1315" s="281"/>
      <c r="K1315" s="370"/>
      <c r="L1315" s="29"/>
      <c r="M1315" s="232"/>
      <c r="N1315" s="354"/>
      <c r="O1315" s="325"/>
    </row>
    <row r="1316" spans="1:15" s="100" customFormat="1" ht="32.450000000000003" customHeight="1" x14ac:dyDescent="0.25">
      <c r="A1316" s="507" t="s">
        <v>4291</v>
      </c>
      <c r="B1316" s="508" t="s">
        <v>1247</v>
      </c>
      <c r="C1316" s="519" t="s">
        <v>0</v>
      </c>
      <c r="D1316" s="510" t="s">
        <v>969</v>
      </c>
      <c r="E1316" s="510" t="s">
        <v>2323</v>
      </c>
      <c r="F1316" s="510" t="s">
        <v>398</v>
      </c>
      <c r="G1316" s="511" t="s">
        <v>399</v>
      </c>
      <c r="H1316" s="512" t="s">
        <v>400</v>
      </c>
      <c r="I1316" s="101" t="s">
        <v>2322</v>
      </c>
      <c r="J1316" s="589" t="s">
        <v>3927</v>
      </c>
      <c r="K1316" s="590" t="s">
        <v>3250</v>
      </c>
      <c r="L1316" s="591" t="s">
        <v>1</v>
      </c>
      <c r="M1316" s="590" t="s">
        <v>3486</v>
      </c>
      <c r="N1316" s="640" t="s">
        <v>3487</v>
      </c>
      <c r="O1316" s="339" t="s">
        <v>2324</v>
      </c>
    </row>
    <row r="1317" spans="1:15" x14ac:dyDescent="0.25">
      <c r="A1317" s="87" t="s">
        <v>4158</v>
      </c>
      <c r="B1317" s="515" t="s">
        <v>4154</v>
      </c>
      <c r="C1317" s="252" t="s">
        <v>4155</v>
      </c>
      <c r="D1317" s="514">
        <v>34.83</v>
      </c>
      <c r="E1317" s="514">
        <v>32.4</v>
      </c>
      <c r="F1317" s="116">
        <f>(G1317+H1317)/2</f>
        <v>7650</v>
      </c>
      <c r="G1317" s="17">
        <v>8300</v>
      </c>
      <c r="H1317" s="17">
        <v>7000</v>
      </c>
      <c r="I1317" s="319" t="s">
        <v>889</v>
      </c>
      <c r="J1317" s="344" t="s">
        <v>2</v>
      </c>
      <c r="K1317" s="639" t="s">
        <v>302</v>
      </c>
      <c r="L1317" s="514" t="s">
        <v>14</v>
      </c>
      <c r="M1317" s="342" t="s">
        <v>4156</v>
      </c>
      <c r="N1317" s="209"/>
    </row>
    <row r="1318" spans="1:15" x14ac:dyDescent="0.25">
      <c r="A1318" s="87" t="s">
        <v>4127</v>
      </c>
      <c r="B1318" s="515" t="s">
        <v>4154</v>
      </c>
      <c r="C1318" s="252" t="s">
        <v>4155</v>
      </c>
      <c r="D1318" s="514">
        <v>34.83</v>
      </c>
      <c r="E1318" s="514">
        <v>32.4</v>
      </c>
      <c r="F1318" s="116">
        <f>(G1318+H1318)/2</f>
        <v>7650</v>
      </c>
      <c r="G1318" s="17">
        <v>8300</v>
      </c>
      <c r="H1318" s="17">
        <v>7000</v>
      </c>
      <c r="I1318" s="319" t="s">
        <v>109</v>
      </c>
      <c r="J1318" s="344" t="s">
        <v>18</v>
      </c>
      <c r="K1318" s="639" t="s">
        <v>302</v>
      </c>
      <c r="L1318" s="514" t="s">
        <v>14</v>
      </c>
      <c r="M1318" s="342" t="s">
        <v>4157</v>
      </c>
      <c r="N1318" s="209"/>
    </row>
    <row r="1319" spans="1:15" s="45" customFormat="1" x14ac:dyDescent="0.25">
      <c r="A1319" s="665" t="s">
        <v>4155</v>
      </c>
      <c r="B1319" s="660"/>
      <c r="C1319" s="661"/>
      <c r="D1319" s="684">
        <f>AVERAGE(D1317:D1318)</f>
        <v>34.83</v>
      </c>
      <c r="E1319" s="684">
        <f>AVERAGE(E1317:E1318)</f>
        <v>32.4</v>
      </c>
      <c r="F1319" s="685">
        <f>AVERAGE(F1317:F1318)</f>
        <v>7650</v>
      </c>
      <c r="G1319" s="12"/>
      <c r="H1319" s="113"/>
      <c r="I1319" s="357"/>
      <c r="J1319" s="281"/>
      <c r="K1319" s="232"/>
      <c r="L1319" s="29"/>
      <c r="M1319" s="232"/>
      <c r="N1319" s="354"/>
      <c r="O1319" s="325"/>
    </row>
    <row r="1320" spans="1:15" s="45" customFormat="1" x14ac:dyDescent="0.25">
      <c r="A1320" s="231" t="s">
        <v>4159</v>
      </c>
      <c r="B1320" s="356"/>
      <c r="C1320" s="403"/>
      <c r="D1320" s="369"/>
      <c r="E1320" s="369"/>
      <c r="F1320" s="382"/>
      <c r="G1320" s="12"/>
      <c r="H1320" s="113"/>
      <c r="I1320" s="113"/>
      <c r="J1320" s="281"/>
      <c r="K1320" s="232"/>
      <c r="L1320" s="29"/>
      <c r="M1320" s="232"/>
      <c r="N1320" s="354"/>
      <c r="O1320" s="325"/>
    </row>
    <row r="1321" spans="1:15" s="45" customFormat="1" x14ac:dyDescent="0.25">
      <c r="A1321" s="231"/>
      <c r="B1321" s="356"/>
      <c r="C1321" s="403"/>
      <c r="D1321" s="369"/>
      <c r="E1321" s="369"/>
      <c r="F1321" s="382"/>
      <c r="G1321" s="12"/>
      <c r="H1321" s="113"/>
      <c r="I1321" s="113"/>
      <c r="J1321" s="281"/>
      <c r="K1321" s="232"/>
      <c r="L1321" s="29"/>
      <c r="M1321" s="232"/>
      <c r="N1321" s="354"/>
      <c r="O1321" s="325"/>
    </row>
    <row r="1322" spans="1:15" s="45" customFormat="1" x14ac:dyDescent="0.25">
      <c r="A1322" s="665" t="s">
        <v>2084</v>
      </c>
      <c r="B1322" s="356"/>
      <c r="C1322" s="403"/>
      <c r="D1322" s="369"/>
      <c r="E1322" s="369"/>
      <c r="F1322" s="382"/>
      <c r="G1322" s="12"/>
      <c r="H1322" s="113"/>
      <c r="I1322" s="113"/>
      <c r="J1322" s="281"/>
      <c r="K1322" s="232"/>
      <c r="L1322" s="29"/>
      <c r="M1322" s="232"/>
      <c r="N1322" s="354"/>
      <c r="O1322" s="325"/>
    </row>
    <row r="1323" spans="1:15" s="100" customFormat="1" ht="32.450000000000003" customHeight="1" x14ac:dyDescent="0.25">
      <c r="A1323" s="507" t="s">
        <v>4291</v>
      </c>
      <c r="B1323" s="508" t="s">
        <v>1247</v>
      </c>
      <c r="C1323" s="519" t="s">
        <v>0</v>
      </c>
      <c r="D1323" s="510" t="s">
        <v>969</v>
      </c>
      <c r="E1323" s="510" t="s">
        <v>2323</v>
      </c>
      <c r="F1323" s="510" t="s">
        <v>398</v>
      </c>
      <c r="G1323" s="511" t="s">
        <v>399</v>
      </c>
      <c r="H1323" s="512" t="s">
        <v>400</v>
      </c>
      <c r="I1323" s="101" t="s">
        <v>2322</v>
      </c>
      <c r="J1323" s="589" t="s">
        <v>3927</v>
      </c>
      <c r="K1323" s="590" t="s">
        <v>3250</v>
      </c>
      <c r="L1323" s="591" t="s">
        <v>1</v>
      </c>
      <c r="M1323" s="590" t="s">
        <v>3486</v>
      </c>
      <c r="N1323" s="640" t="s">
        <v>3487</v>
      </c>
      <c r="O1323" s="339" t="s">
        <v>2324</v>
      </c>
    </row>
    <row r="1324" spans="1:15" x14ac:dyDescent="0.25">
      <c r="A1324" s="366" t="s">
        <v>3125</v>
      </c>
      <c r="B1324" s="205" t="s">
        <v>3133</v>
      </c>
      <c r="C1324" s="205" t="s">
        <v>2084</v>
      </c>
      <c r="D1324" s="41">
        <v>47.011707399999999</v>
      </c>
      <c r="E1324" s="41">
        <v>7.2505417000000003</v>
      </c>
      <c r="F1324" s="116">
        <f>(G1324+H1324)/2</f>
        <v>4410</v>
      </c>
      <c r="G1324" s="17">
        <v>4458</v>
      </c>
      <c r="H1324" s="17">
        <v>4362</v>
      </c>
      <c r="I1324" s="111" t="s">
        <v>1062</v>
      </c>
      <c r="J1324" s="220" t="s">
        <v>2361</v>
      </c>
      <c r="K1324" s="220" t="s">
        <v>3011</v>
      </c>
      <c r="L1324" s="17" t="s">
        <v>14</v>
      </c>
      <c r="M1324" s="87" t="s">
        <v>3134</v>
      </c>
      <c r="N1324" s="209"/>
    </row>
    <row r="1325" spans="1:15" s="45" customFormat="1" x14ac:dyDescent="0.25">
      <c r="A1325" s="665" t="s">
        <v>2084</v>
      </c>
      <c r="B1325" s="660"/>
      <c r="C1325" s="661"/>
      <c r="D1325" s="684">
        <f>AVERAGE(D1324:D1324)</f>
        <v>47.011707399999999</v>
      </c>
      <c r="E1325" s="684">
        <f>AVERAGE(E1324:E1324)</f>
        <v>7.2505417000000003</v>
      </c>
      <c r="F1325" s="685">
        <f>AVERAGE(F1324:F1324)</f>
        <v>4410</v>
      </c>
      <c r="G1325" s="12"/>
      <c r="H1325" s="113"/>
      <c r="I1325" s="357"/>
      <c r="J1325" s="281"/>
      <c r="K1325" s="232"/>
      <c r="L1325" s="29"/>
      <c r="M1325" s="232"/>
      <c r="N1325" s="354"/>
      <c r="O1325" s="325"/>
    </row>
    <row r="1326" spans="1:15" s="45" customFormat="1" x14ac:dyDescent="0.25">
      <c r="A1326" s="818"/>
      <c r="B1326" s="356"/>
      <c r="C1326" s="403"/>
      <c r="D1326" s="809"/>
      <c r="E1326" s="809"/>
      <c r="F1326" s="810"/>
      <c r="G1326" s="12"/>
      <c r="H1326" s="113"/>
      <c r="I1326" s="113"/>
      <c r="J1326" s="281"/>
      <c r="K1326" s="232"/>
      <c r="L1326" s="29"/>
      <c r="M1326" s="232"/>
      <c r="N1326" s="354"/>
      <c r="O1326" s="325"/>
    </row>
    <row r="1327" spans="1:15" x14ac:dyDescent="0.25">
      <c r="A1327" s="659" t="s">
        <v>4126</v>
      </c>
      <c r="B1327" s="61"/>
      <c r="C1327" s="366"/>
      <c r="D1327" s="29"/>
      <c r="E1327" s="29"/>
      <c r="F1327" s="385"/>
      <c r="G1327" s="61"/>
      <c r="H1327" s="61"/>
      <c r="I1327" s="61"/>
      <c r="J1327" s="61"/>
      <c r="K1327" s="325"/>
      <c r="L1327" s="61"/>
      <c r="M1327" s="325"/>
      <c r="N1327" s="388"/>
      <c r="O1327" s="61"/>
    </row>
    <row r="1328" spans="1:15" s="100" customFormat="1" ht="32.450000000000003" customHeight="1" x14ac:dyDescent="0.25">
      <c r="A1328" s="507" t="s">
        <v>4291</v>
      </c>
      <c r="B1328" s="508" t="s">
        <v>1247</v>
      </c>
      <c r="C1328" s="519" t="s">
        <v>0</v>
      </c>
      <c r="D1328" s="510" t="s">
        <v>969</v>
      </c>
      <c r="E1328" s="510" t="s">
        <v>2323</v>
      </c>
      <c r="F1328" s="510" t="s">
        <v>398</v>
      </c>
      <c r="G1328" s="511" t="s">
        <v>399</v>
      </c>
      <c r="H1328" s="512" t="s">
        <v>400</v>
      </c>
      <c r="I1328" s="101" t="s">
        <v>2322</v>
      </c>
      <c r="J1328" s="589" t="s">
        <v>3927</v>
      </c>
      <c r="K1328" s="590" t="s">
        <v>3250</v>
      </c>
      <c r="L1328" s="591" t="s">
        <v>1</v>
      </c>
      <c r="M1328" s="590" t="s">
        <v>3486</v>
      </c>
      <c r="N1328" s="640" t="s">
        <v>3487</v>
      </c>
      <c r="O1328" s="339" t="s">
        <v>2324</v>
      </c>
    </row>
    <row r="1329" spans="1:15" x14ac:dyDescent="0.25">
      <c r="A1329" s="87" t="s">
        <v>4127</v>
      </c>
      <c r="B1329" s="325" t="s">
        <v>4125</v>
      </c>
      <c r="C1329" s="404" t="s">
        <v>4126</v>
      </c>
      <c r="D1329" s="514">
        <v>40.810555999999998</v>
      </c>
      <c r="E1329" s="514">
        <v>20.793889</v>
      </c>
      <c r="F1329" s="570">
        <f>(G1329+H1329)/2</f>
        <v>6145</v>
      </c>
      <c r="G1329" s="29">
        <v>6223</v>
      </c>
      <c r="H1329" s="29">
        <v>6067</v>
      </c>
      <c r="I1329" s="196" t="s">
        <v>128</v>
      </c>
      <c r="J1329" s="61"/>
      <c r="K1329" s="309" t="s">
        <v>170</v>
      </c>
      <c r="L1329" s="61" t="s">
        <v>2</v>
      </c>
      <c r="M1329" s="325" t="s">
        <v>4124</v>
      </c>
      <c r="N1329" s="388"/>
      <c r="O1329" s="61"/>
    </row>
    <row r="1330" spans="1:15" s="45" customFormat="1" x14ac:dyDescent="0.25">
      <c r="A1330" s="659" t="s">
        <v>4126</v>
      </c>
      <c r="B1330" s="660"/>
      <c r="C1330" s="661"/>
      <c r="D1330" s="684">
        <f>AVERAGE(D1329:D1329)</f>
        <v>40.810555999999998</v>
      </c>
      <c r="E1330" s="684">
        <f>AVERAGE(E1329:E1329)</f>
        <v>20.793889</v>
      </c>
      <c r="F1330" s="685">
        <f>AVERAGE(F1329:F1329)</f>
        <v>6145</v>
      </c>
      <c r="G1330" s="12"/>
      <c r="H1330" s="113"/>
      <c r="I1330" s="357"/>
      <c r="J1330" s="281"/>
      <c r="K1330" s="232"/>
      <c r="L1330" s="29"/>
      <c r="M1330" s="232"/>
      <c r="N1330" s="354"/>
      <c r="O1330" s="325"/>
    </row>
    <row r="1331" spans="1:15" x14ac:dyDescent="0.25">
      <c r="A1331" s="2"/>
      <c r="B1331" s="61"/>
      <c r="C1331" s="366"/>
      <c r="D1331" s="29"/>
      <c r="E1331" s="29"/>
      <c r="F1331" s="385"/>
      <c r="G1331" s="61"/>
      <c r="H1331" s="61"/>
      <c r="I1331" s="61"/>
      <c r="J1331" s="61"/>
      <c r="K1331" s="325"/>
      <c r="L1331" s="61"/>
      <c r="M1331" s="232"/>
      <c r="N1331" s="388"/>
      <c r="O1331" s="61"/>
    </row>
    <row r="1332" spans="1:15" x14ac:dyDescent="0.25">
      <c r="C1332" s="252"/>
    </row>
    <row r="1333" spans="1:15" x14ac:dyDescent="0.25">
      <c r="C1333" s="252"/>
    </row>
    <row r="1334" spans="1:15" x14ac:dyDescent="0.25">
      <c r="C1334" s="252"/>
    </row>
  </sheetData>
  <sortState ref="A363:O402">
    <sortCondition ref="A363:A402"/>
    <sortCondition ref="C363:C402"/>
  </sortState>
  <conditionalFormatting sqref="A991 A993 A995 A997 A999 A1001 A1003 A1005 A1007 A1009 A1011 A1013 A1015 A1017 A1019 A1021 A1023 A1025 I357 I355 I352:I353 I349">
    <cfRule type="cellIs" dxfId="35" priority="52" operator="equal">
      <formula>".."</formula>
    </cfRule>
  </conditionalFormatting>
  <conditionalFormatting sqref="A992 A994 A996 A998 A1000 A1002 A1004 A1006 A1008 A1010 A1012 A1014 A1016 A1018 A1020 A1022 A1024 A1026">
    <cfRule type="cellIs" dxfId="34" priority="51" operator="equal">
      <formula>".."</formula>
    </cfRule>
  </conditionalFormatting>
  <conditionalFormatting sqref="A1027:A1033">
    <cfRule type="cellIs" dxfId="33" priority="44" operator="equal">
      <formula>".."</formula>
    </cfRule>
  </conditionalFormatting>
  <conditionalFormatting sqref="D356:E358 D362:E362">
    <cfRule type="containsText" dxfId="32" priority="41" operator="containsText" text="..">
      <formula>NOT(ISERROR(SEARCH("..",D356)))</formula>
    </cfRule>
  </conditionalFormatting>
  <conditionalFormatting sqref="I362">
    <cfRule type="cellIs" dxfId="31" priority="39" operator="equal">
      <formula>".."</formula>
    </cfRule>
  </conditionalFormatting>
  <conditionalFormatting sqref="D359:E359">
    <cfRule type="containsText" dxfId="30" priority="38" operator="containsText" text="..">
      <formula>NOT(ISERROR(SEARCH("..",D359)))</formula>
    </cfRule>
  </conditionalFormatting>
  <conditionalFormatting sqref="D360:E360">
    <cfRule type="containsText" dxfId="29" priority="37" operator="containsText" text="..">
      <formula>NOT(ISERROR(SEARCH("..",D360)))</formula>
    </cfRule>
  </conditionalFormatting>
  <conditionalFormatting sqref="D361:E361">
    <cfRule type="containsText" dxfId="28" priority="36" operator="containsText" text="..">
      <formula>NOT(ISERROR(SEARCH("..",D361)))</formula>
    </cfRule>
  </conditionalFormatting>
  <conditionalFormatting sqref="D787:E787">
    <cfRule type="cellIs" dxfId="27" priority="35" operator="equal">
      <formula>".."</formula>
    </cfRule>
  </conditionalFormatting>
  <conditionalFormatting sqref="D788:E788 D791:E798">
    <cfRule type="cellIs" dxfId="26" priority="34" operator="equal">
      <formula>".."</formula>
    </cfRule>
  </conditionalFormatting>
  <conditionalFormatting sqref="D799:E799 D801:E801">
    <cfRule type="cellIs" dxfId="25" priority="12" operator="equal">
      <formula>".."</formula>
    </cfRule>
  </conditionalFormatting>
  <conditionalFormatting sqref="D800:E800">
    <cfRule type="cellIs" dxfId="24" priority="11" operator="equal">
      <formula>".."</formula>
    </cfRule>
  </conditionalFormatting>
  <conditionalFormatting sqref="O288">
    <cfRule type="cellIs" dxfId="23" priority="1" operator="equal">
      <formula>".."</formula>
    </cfRule>
  </conditionalFormatting>
  <pageMargins left="0.11811023622047245" right="0.11811023622047245" top="0.15748031496062992" bottom="0.15748031496062992" header="0" footer="0"/>
  <pageSetup paperSize="9" scale="95" orientation="landscape" r:id="rId1"/>
  <ignoredErrors>
    <ignoredError sqref="F297" formula="1"/>
    <ignoredError sqref="D1126:E1126 G1278:H127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79"/>
  <sheetViews>
    <sheetView zoomScale="75" zoomScaleNormal="75" workbookViewId="0">
      <selection activeCell="B10" sqref="B10"/>
    </sheetView>
  </sheetViews>
  <sheetFormatPr baseColWidth="10" defaultRowHeight="15" x14ac:dyDescent="0.25"/>
  <cols>
    <col min="1" max="1" width="27.85546875" customWidth="1"/>
    <col min="2" max="2" width="171.28515625" customWidth="1"/>
  </cols>
  <sheetData>
    <row r="1" spans="1:12" s="59" customFormat="1" ht="24" thickBot="1" x14ac:dyDescent="0.4">
      <c r="B1" s="883" t="s">
        <v>4694</v>
      </c>
    </row>
    <row r="2" spans="1:12" s="63" customFormat="1" ht="15.75" customHeight="1" thickBot="1" x14ac:dyDescent="0.3">
      <c r="A2" s="409" t="s">
        <v>2130</v>
      </c>
      <c r="B2" s="409" t="s">
        <v>2131</v>
      </c>
      <c r="C2" s="407"/>
      <c r="D2" s="77"/>
      <c r="E2" s="77"/>
      <c r="F2" s="77"/>
      <c r="G2" s="77"/>
      <c r="H2" s="77"/>
      <c r="I2" s="77"/>
      <c r="J2" s="77"/>
    </row>
    <row r="3" spans="1:12" s="59" customFormat="1" ht="30" x14ac:dyDescent="0.25">
      <c r="A3" s="408" t="s">
        <v>2504</v>
      </c>
      <c r="B3" s="258" t="s">
        <v>4361</v>
      </c>
      <c r="C3" s="275"/>
    </row>
    <row r="4" spans="1:12" x14ac:dyDescent="0.25">
      <c r="A4" s="130" t="s">
        <v>842</v>
      </c>
      <c r="B4" s="259" t="s">
        <v>4362</v>
      </c>
      <c r="C4" s="275"/>
    </row>
    <row r="5" spans="1:12" ht="30" x14ac:dyDescent="0.25">
      <c r="A5" s="658" t="s">
        <v>4107</v>
      </c>
      <c r="B5" s="259" t="s">
        <v>4363</v>
      </c>
      <c r="C5" s="275"/>
    </row>
    <row r="6" spans="1:12" x14ac:dyDescent="0.25">
      <c r="A6" s="658" t="s">
        <v>4370</v>
      </c>
      <c r="B6" s="259" t="s">
        <v>4371</v>
      </c>
      <c r="C6" s="275"/>
    </row>
    <row r="7" spans="1:12" ht="15.75" x14ac:dyDescent="0.25">
      <c r="A7" s="130" t="s">
        <v>3931</v>
      </c>
      <c r="B7" s="260" t="s">
        <v>3932</v>
      </c>
      <c r="C7" s="275"/>
    </row>
    <row r="8" spans="1:12" x14ac:dyDescent="0.25">
      <c r="A8" s="131" t="s">
        <v>2295</v>
      </c>
      <c r="B8" s="261" t="s">
        <v>4110</v>
      </c>
      <c r="C8" s="274"/>
      <c r="E8" s="98"/>
      <c r="F8" s="9"/>
      <c r="G8" s="9"/>
      <c r="H8" s="9"/>
      <c r="I8" s="9"/>
      <c r="J8" s="9"/>
      <c r="K8" s="9"/>
      <c r="L8" s="9"/>
    </row>
    <row r="9" spans="1:12" x14ac:dyDescent="0.25">
      <c r="A9" s="836" t="s">
        <v>4554</v>
      </c>
      <c r="B9" s="837" t="s">
        <v>4555</v>
      </c>
      <c r="C9" s="274"/>
      <c r="E9" s="98"/>
      <c r="F9" s="9"/>
      <c r="G9" s="9"/>
      <c r="H9" s="9"/>
      <c r="I9" s="9"/>
      <c r="J9" s="9"/>
      <c r="K9" s="9"/>
      <c r="L9" s="9"/>
    </row>
    <row r="10" spans="1:12" ht="30" x14ac:dyDescent="0.25">
      <c r="A10" s="128" t="s">
        <v>406</v>
      </c>
      <c r="B10" s="262" t="s">
        <v>4284</v>
      </c>
      <c r="C10" s="275"/>
    </row>
    <row r="11" spans="1:12" ht="15.75" x14ac:dyDescent="0.25">
      <c r="A11" s="128" t="s">
        <v>2875</v>
      </c>
      <c r="B11" s="263" t="s">
        <v>2876</v>
      </c>
      <c r="C11" s="275"/>
    </row>
    <row r="12" spans="1:12" ht="31.5" x14ac:dyDescent="0.25">
      <c r="A12" s="128" t="s">
        <v>1419</v>
      </c>
      <c r="B12" s="264" t="s">
        <v>4364</v>
      </c>
      <c r="C12" s="275"/>
    </row>
    <row r="13" spans="1:12" ht="30" x14ac:dyDescent="0.25">
      <c r="A13" s="128" t="s">
        <v>374</v>
      </c>
      <c r="B13" s="265" t="s">
        <v>918</v>
      </c>
      <c r="C13" s="275"/>
    </row>
    <row r="14" spans="1:12" ht="30" x14ac:dyDescent="0.25">
      <c r="A14" s="128" t="s">
        <v>896</v>
      </c>
      <c r="B14" s="265" t="s">
        <v>919</v>
      </c>
      <c r="C14" s="275"/>
    </row>
    <row r="15" spans="1:12" ht="27.6" customHeight="1" x14ac:dyDescent="0.25">
      <c r="A15" s="129" t="s">
        <v>1100</v>
      </c>
      <c r="B15" s="265" t="s">
        <v>4547</v>
      </c>
      <c r="C15" s="275"/>
    </row>
    <row r="16" spans="1:12" x14ac:dyDescent="0.25">
      <c r="A16" s="19" t="s">
        <v>975</v>
      </c>
      <c r="B16" s="265" t="s">
        <v>977</v>
      </c>
      <c r="C16" s="275"/>
    </row>
    <row r="17" spans="1:16384" x14ac:dyDescent="0.25">
      <c r="A17" s="37" t="s">
        <v>373</v>
      </c>
      <c r="B17" s="266" t="s">
        <v>397</v>
      </c>
      <c r="C17" s="275"/>
    </row>
    <row r="18" spans="1:16384" ht="30" x14ac:dyDescent="0.25">
      <c r="A18" s="37" t="s">
        <v>372</v>
      </c>
      <c r="B18" s="265" t="s">
        <v>4365</v>
      </c>
      <c r="C18" s="275"/>
    </row>
    <row r="19" spans="1:16384" ht="31.5" x14ac:dyDescent="0.25">
      <c r="A19" s="37" t="s">
        <v>3991</v>
      </c>
      <c r="B19" s="267" t="s">
        <v>4366</v>
      </c>
      <c r="C19" s="275"/>
      <c r="D19" s="85"/>
    </row>
    <row r="20" spans="1:16384" ht="30" x14ac:dyDescent="0.25">
      <c r="A20" s="37" t="s">
        <v>686</v>
      </c>
      <c r="B20" s="265" t="s">
        <v>3845</v>
      </c>
      <c r="C20" s="275"/>
    </row>
    <row r="21" spans="1:16384" x14ac:dyDescent="0.25">
      <c r="A21" s="37" t="s">
        <v>3792</v>
      </c>
      <c r="B21" s="265" t="s">
        <v>3793</v>
      </c>
      <c r="C21" s="275"/>
    </row>
    <row r="22" spans="1:16384" ht="30" x14ac:dyDescent="0.25">
      <c r="A22" s="37" t="s">
        <v>375</v>
      </c>
      <c r="B22" s="265" t="s">
        <v>810</v>
      </c>
      <c r="C22" s="275"/>
    </row>
    <row r="23" spans="1:16384" x14ac:dyDescent="0.25">
      <c r="A23" s="37" t="s">
        <v>2414</v>
      </c>
      <c r="B23" s="265" t="s">
        <v>2415</v>
      </c>
      <c r="C23" s="275"/>
    </row>
    <row r="24" spans="1:16384" ht="31.5" x14ac:dyDescent="0.25">
      <c r="A24" s="37" t="s">
        <v>3866</v>
      </c>
      <c r="B24" s="268" t="s">
        <v>4367</v>
      </c>
      <c r="C24" s="275"/>
    </row>
    <row r="25" spans="1:16384" ht="30" x14ac:dyDescent="0.25">
      <c r="A25" s="37" t="s">
        <v>778</v>
      </c>
      <c r="B25" s="265" t="s">
        <v>3851</v>
      </c>
      <c r="C25" s="275"/>
    </row>
    <row r="26" spans="1:16384" ht="15.75" x14ac:dyDescent="0.25">
      <c r="A26" s="37" t="s">
        <v>2871</v>
      </c>
      <c r="B26" s="263" t="s">
        <v>4368</v>
      </c>
      <c r="C26" s="275"/>
    </row>
    <row r="27" spans="1:16384" ht="15.75" x14ac:dyDescent="0.25">
      <c r="A27" s="216" t="s">
        <v>3125</v>
      </c>
      <c r="B27" s="263" t="s">
        <v>3124</v>
      </c>
      <c r="C27" s="276"/>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c r="BP27" s="85"/>
      <c r="BQ27" s="85"/>
      <c r="BR27" s="85"/>
      <c r="BS27" s="85"/>
      <c r="BT27" s="85"/>
      <c r="BU27" s="85"/>
      <c r="BV27" s="85"/>
      <c r="BW27" s="85"/>
      <c r="BX27" s="85"/>
      <c r="BY27" s="85"/>
      <c r="BZ27" s="85"/>
      <c r="CA27" s="85"/>
      <c r="CB27" s="85"/>
      <c r="CC27" s="85"/>
      <c r="CD27" s="85"/>
      <c r="CE27" s="85"/>
      <c r="CF27" s="85"/>
      <c r="CG27" s="85"/>
      <c r="CH27" s="85"/>
      <c r="CI27" s="85"/>
      <c r="CJ27" s="85"/>
      <c r="CK27" s="85"/>
      <c r="CL27" s="85"/>
      <c r="CM27" s="85"/>
      <c r="CN27" s="85"/>
      <c r="CO27" s="85"/>
      <c r="CP27" s="85"/>
      <c r="CQ27" s="85"/>
      <c r="CR27" s="85"/>
      <c r="CS27" s="85"/>
      <c r="CT27" s="85"/>
      <c r="CU27" s="85"/>
      <c r="CV27" s="85"/>
      <c r="CW27" s="85"/>
      <c r="CX27" s="85"/>
      <c r="CY27" s="85"/>
      <c r="CZ27" s="85"/>
      <c r="DA27" s="85"/>
      <c r="DB27" s="85"/>
      <c r="DC27" s="85"/>
      <c r="DD27" s="85"/>
      <c r="DE27" s="85"/>
      <c r="DF27" s="85"/>
      <c r="DG27" s="85"/>
      <c r="DH27" s="85"/>
      <c r="DI27" s="85"/>
      <c r="DJ27" s="85"/>
      <c r="DK27" s="85"/>
      <c r="DL27" s="85"/>
      <c r="DM27" s="85"/>
      <c r="DN27" s="85"/>
      <c r="DO27" s="85"/>
      <c r="DP27" s="85"/>
      <c r="DQ27" s="85"/>
      <c r="DR27" s="85"/>
      <c r="DS27" s="85"/>
      <c r="DT27" s="85"/>
      <c r="DU27" s="85"/>
      <c r="DV27" s="85"/>
      <c r="DW27" s="85"/>
      <c r="DX27" s="85"/>
      <c r="DY27" s="85"/>
      <c r="DZ27" s="85"/>
      <c r="EA27" s="85"/>
      <c r="EB27" s="85"/>
      <c r="EC27" s="85"/>
      <c r="ED27" s="85"/>
      <c r="EE27" s="85"/>
      <c r="EF27" s="85"/>
      <c r="EG27" s="85"/>
      <c r="EH27" s="85"/>
      <c r="EI27" s="85"/>
      <c r="EJ27" s="85"/>
      <c r="EK27" s="85"/>
      <c r="EL27" s="85"/>
      <c r="EM27" s="85"/>
      <c r="EN27" s="85"/>
      <c r="EO27" s="85"/>
      <c r="EP27" s="85"/>
      <c r="EQ27" s="85"/>
      <c r="ER27" s="85"/>
      <c r="ES27" s="85"/>
      <c r="ET27" s="85"/>
      <c r="EU27" s="85"/>
      <c r="EV27" s="85"/>
      <c r="EW27" s="85"/>
      <c r="EX27" s="85"/>
      <c r="EY27" s="85"/>
      <c r="EZ27" s="85"/>
      <c r="FA27" s="85"/>
      <c r="FB27" s="85"/>
      <c r="FC27" s="85"/>
      <c r="FD27" s="85"/>
      <c r="FE27" s="85"/>
      <c r="FF27" s="85"/>
      <c r="FG27" s="85"/>
      <c r="FH27" s="85"/>
      <c r="FI27" s="85"/>
      <c r="FJ27" s="85"/>
      <c r="FK27" s="85"/>
      <c r="FL27" s="85"/>
      <c r="FM27" s="85"/>
      <c r="FN27" s="85"/>
      <c r="FO27" s="85"/>
      <c r="FP27" s="85"/>
      <c r="FQ27" s="85"/>
      <c r="FR27" s="85"/>
      <c r="FS27" s="85"/>
      <c r="FT27" s="85"/>
      <c r="FU27" s="85"/>
      <c r="FV27" s="85"/>
      <c r="FW27" s="85"/>
      <c r="FX27" s="85"/>
      <c r="FY27" s="85"/>
      <c r="FZ27" s="85"/>
      <c r="GA27" s="85"/>
      <c r="GB27" s="85"/>
      <c r="GC27" s="85"/>
      <c r="GD27" s="85"/>
      <c r="GE27" s="85"/>
      <c r="GF27" s="85"/>
      <c r="GG27" s="85"/>
      <c r="GH27" s="85"/>
      <c r="GI27" s="85"/>
      <c r="GJ27" s="85"/>
      <c r="GK27" s="85"/>
      <c r="GL27" s="85"/>
      <c r="GM27" s="85"/>
      <c r="GN27" s="85"/>
      <c r="GO27" s="85"/>
      <c r="GP27" s="85"/>
      <c r="GQ27" s="85"/>
      <c r="GR27" s="85"/>
      <c r="GS27" s="85"/>
      <c r="GT27" s="85"/>
      <c r="GU27" s="85"/>
      <c r="GV27" s="85"/>
      <c r="GW27" s="85"/>
      <c r="GX27" s="85"/>
      <c r="GY27" s="85"/>
      <c r="GZ27" s="85"/>
      <c r="HA27" s="85"/>
      <c r="HB27" s="85"/>
      <c r="HC27" s="85"/>
      <c r="HD27" s="85"/>
      <c r="HE27" s="85"/>
      <c r="HF27" s="85"/>
      <c r="HG27" s="85"/>
      <c r="HH27" s="85"/>
      <c r="HI27" s="85"/>
      <c r="HJ27" s="85"/>
      <c r="HK27" s="85"/>
      <c r="HL27" s="85"/>
      <c r="HM27" s="85"/>
      <c r="HN27" s="85"/>
      <c r="HO27" s="85"/>
      <c r="HP27" s="85"/>
      <c r="HQ27" s="85"/>
      <c r="HR27" s="85"/>
      <c r="HS27" s="85"/>
      <c r="HT27" s="85"/>
      <c r="HU27" s="85"/>
      <c r="HV27" s="85"/>
      <c r="HW27" s="85"/>
      <c r="HX27" s="85"/>
      <c r="HY27" s="85"/>
      <c r="HZ27" s="85"/>
      <c r="IA27" s="85"/>
      <c r="IB27" s="85"/>
      <c r="IC27" s="85"/>
      <c r="ID27" s="85"/>
      <c r="IE27" s="85"/>
      <c r="IF27" s="85"/>
      <c r="IG27" s="85"/>
      <c r="IH27" s="85"/>
      <c r="II27" s="85"/>
      <c r="IJ27" s="85"/>
      <c r="IK27" s="85"/>
      <c r="IL27" s="85"/>
      <c r="IM27" s="85"/>
      <c r="IN27" s="85"/>
      <c r="IO27" s="85"/>
      <c r="IP27" s="85"/>
      <c r="IQ27" s="85"/>
      <c r="IR27" s="85"/>
      <c r="IS27" s="85"/>
      <c r="IT27" s="85"/>
      <c r="IU27" s="85"/>
      <c r="IV27" s="85"/>
      <c r="IW27" s="85"/>
      <c r="IX27" s="85"/>
      <c r="IY27" s="85"/>
      <c r="IZ27" s="85"/>
      <c r="JA27" s="85"/>
      <c r="JB27" s="85"/>
      <c r="JC27" s="85"/>
      <c r="JD27" s="85"/>
      <c r="JE27" s="85"/>
      <c r="JF27" s="85"/>
      <c r="JG27" s="85"/>
      <c r="JH27" s="85"/>
      <c r="JI27" s="85"/>
      <c r="JJ27" s="85"/>
      <c r="JK27" s="85"/>
      <c r="JL27" s="85"/>
      <c r="JM27" s="85"/>
      <c r="JN27" s="85"/>
      <c r="JO27" s="85"/>
      <c r="JP27" s="85"/>
      <c r="JQ27" s="85"/>
      <c r="JR27" s="85"/>
      <c r="JS27" s="85"/>
      <c r="JT27" s="85"/>
      <c r="JU27" s="85"/>
      <c r="JV27" s="85"/>
      <c r="JW27" s="85"/>
      <c r="JX27" s="85"/>
      <c r="JY27" s="85"/>
      <c r="JZ27" s="85"/>
      <c r="KA27" s="85"/>
      <c r="KB27" s="85"/>
      <c r="KC27" s="85"/>
      <c r="KD27" s="85"/>
      <c r="KE27" s="85"/>
      <c r="KF27" s="85"/>
      <c r="KG27" s="85"/>
      <c r="KH27" s="85"/>
      <c r="KI27" s="85"/>
      <c r="KJ27" s="85"/>
      <c r="KK27" s="85"/>
      <c r="KL27" s="85"/>
      <c r="KM27" s="85"/>
      <c r="KN27" s="85"/>
      <c r="KO27" s="85"/>
      <c r="KP27" s="85"/>
      <c r="KQ27" s="85"/>
      <c r="KR27" s="85"/>
      <c r="KS27" s="85"/>
      <c r="KT27" s="85"/>
      <c r="KU27" s="85"/>
      <c r="KV27" s="85"/>
      <c r="KW27" s="85"/>
      <c r="KX27" s="85"/>
      <c r="KY27" s="85"/>
      <c r="KZ27" s="85"/>
      <c r="LA27" s="85"/>
      <c r="LB27" s="85"/>
      <c r="LC27" s="85"/>
      <c r="LD27" s="85"/>
      <c r="LE27" s="85"/>
      <c r="LF27" s="85"/>
      <c r="LG27" s="85"/>
      <c r="LH27" s="85"/>
      <c r="LI27" s="85"/>
      <c r="LJ27" s="85"/>
      <c r="LK27" s="85"/>
      <c r="LL27" s="85"/>
      <c r="LM27" s="85"/>
      <c r="LN27" s="85"/>
      <c r="LO27" s="85"/>
      <c r="LP27" s="85"/>
      <c r="LQ27" s="85"/>
      <c r="LR27" s="85"/>
      <c r="LS27" s="85"/>
      <c r="LT27" s="85"/>
      <c r="LU27" s="85"/>
      <c r="LV27" s="85"/>
      <c r="LW27" s="85"/>
      <c r="LX27" s="85"/>
      <c r="LY27" s="85"/>
      <c r="LZ27" s="85"/>
      <c r="MA27" s="85"/>
      <c r="MB27" s="85"/>
      <c r="MC27" s="85"/>
      <c r="MD27" s="85"/>
      <c r="ME27" s="85"/>
      <c r="MF27" s="85"/>
      <c r="MG27" s="85"/>
      <c r="MH27" s="85"/>
      <c r="MI27" s="85"/>
      <c r="MJ27" s="85"/>
      <c r="MK27" s="85"/>
      <c r="ML27" s="85"/>
      <c r="MM27" s="85"/>
      <c r="MN27" s="85"/>
      <c r="MO27" s="85"/>
      <c r="MP27" s="85"/>
      <c r="MQ27" s="85"/>
      <c r="MR27" s="85"/>
      <c r="MS27" s="85"/>
      <c r="MT27" s="85"/>
      <c r="MU27" s="85"/>
      <c r="MV27" s="85"/>
      <c r="MW27" s="85"/>
      <c r="MX27" s="85"/>
      <c r="MY27" s="85"/>
      <c r="MZ27" s="85"/>
      <c r="NA27" s="85"/>
      <c r="NB27" s="85"/>
      <c r="NC27" s="85"/>
      <c r="ND27" s="85"/>
      <c r="NE27" s="85"/>
      <c r="NF27" s="85"/>
      <c r="NG27" s="85"/>
      <c r="NH27" s="85"/>
      <c r="NI27" s="85"/>
      <c r="NJ27" s="85"/>
      <c r="NK27" s="85"/>
      <c r="NL27" s="85"/>
      <c r="NM27" s="85"/>
      <c r="NN27" s="85"/>
      <c r="NO27" s="85"/>
      <c r="NP27" s="85"/>
      <c r="NQ27" s="85"/>
      <c r="NR27" s="85"/>
      <c r="NS27" s="85"/>
      <c r="NT27" s="85"/>
      <c r="NU27" s="85"/>
      <c r="NV27" s="85"/>
      <c r="NW27" s="85"/>
      <c r="NX27" s="85"/>
      <c r="NY27" s="85"/>
      <c r="NZ27" s="85"/>
      <c r="OA27" s="85"/>
      <c r="OB27" s="85"/>
      <c r="OC27" s="85"/>
      <c r="OD27" s="85"/>
      <c r="OE27" s="85"/>
      <c r="OF27" s="85"/>
      <c r="OG27" s="85"/>
      <c r="OH27" s="85"/>
      <c r="OI27" s="85"/>
      <c r="OJ27" s="85"/>
      <c r="OK27" s="85"/>
      <c r="OL27" s="85"/>
      <c r="OM27" s="85"/>
      <c r="ON27" s="85"/>
      <c r="OO27" s="85"/>
      <c r="OP27" s="85"/>
      <c r="OQ27" s="85"/>
      <c r="OR27" s="85"/>
      <c r="OS27" s="85"/>
      <c r="OT27" s="85"/>
      <c r="OU27" s="85"/>
      <c r="OV27" s="85"/>
      <c r="OW27" s="85"/>
      <c r="OX27" s="85"/>
      <c r="OY27" s="85"/>
      <c r="OZ27" s="85"/>
      <c r="PA27" s="85"/>
      <c r="PB27" s="85"/>
      <c r="PC27" s="85"/>
      <c r="PD27" s="85"/>
      <c r="PE27" s="85"/>
      <c r="PF27" s="85"/>
      <c r="PG27" s="85"/>
      <c r="PH27" s="85"/>
      <c r="PI27" s="85"/>
      <c r="PJ27" s="85"/>
      <c r="PK27" s="85"/>
      <c r="PL27" s="85"/>
      <c r="PM27" s="85"/>
      <c r="PN27" s="85"/>
      <c r="PO27" s="85"/>
      <c r="PP27" s="85"/>
      <c r="PQ27" s="85"/>
      <c r="PR27" s="85"/>
      <c r="PS27" s="85"/>
      <c r="PT27" s="85"/>
      <c r="PU27" s="85"/>
      <c r="PV27" s="85"/>
      <c r="PW27" s="85"/>
      <c r="PX27" s="85"/>
      <c r="PY27" s="85"/>
      <c r="PZ27" s="85"/>
      <c r="QA27" s="85"/>
      <c r="QB27" s="85"/>
      <c r="QC27" s="85"/>
      <c r="QD27" s="85"/>
      <c r="QE27" s="85"/>
      <c r="QF27" s="85"/>
      <c r="QG27" s="85"/>
      <c r="QH27" s="85"/>
      <c r="QI27" s="85"/>
      <c r="QJ27" s="85"/>
      <c r="QK27" s="85"/>
      <c r="QL27" s="85"/>
      <c r="QM27" s="85"/>
      <c r="QN27" s="85"/>
      <c r="QO27" s="85"/>
      <c r="QP27" s="85"/>
      <c r="QQ27" s="85"/>
      <c r="QR27" s="85"/>
      <c r="QS27" s="85"/>
      <c r="QT27" s="85"/>
      <c r="QU27" s="85"/>
      <c r="QV27" s="85"/>
      <c r="QW27" s="85"/>
      <c r="QX27" s="85"/>
      <c r="QY27" s="85"/>
      <c r="QZ27" s="85"/>
      <c r="RA27" s="85"/>
      <c r="RB27" s="85"/>
      <c r="RC27" s="85"/>
      <c r="RD27" s="85"/>
      <c r="RE27" s="85"/>
      <c r="RF27" s="85"/>
      <c r="RG27" s="85"/>
      <c r="RH27" s="85"/>
      <c r="RI27" s="85"/>
      <c r="RJ27" s="85"/>
      <c r="RK27" s="85"/>
      <c r="RL27" s="85"/>
      <c r="RM27" s="85"/>
      <c r="RN27" s="85"/>
      <c r="RO27" s="85"/>
      <c r="RP27" s="85"/>
      <c r="RQ27" s="85"/>
      <c r="RR27" s="85"/>
      <c r="RS27" s="85"/>
      <c r="RT27" s="85"/>
      <c r="RU27" s="85"/>
      <c r="RV27" s="85"/>
      <c r="RW27" s="85"/>
      <c r="RX27" s="85"/>
      <c r="RY27" s="85"/>
      <c r="RZ27" s="85"/>
      <c r="SA27" s="85"/>
      <c r="SB27" s="85"/>
      <c r="SC27" s="85"/>
      <c r="SD27" s="85"/>
      <c r="SE27" s="85"/>
      <c r="SF27" s="85"/>
      <c r="SG27" s="85"/>
      <c r="SH27" s="85"/>
      <c r="SI27" s="85"/>
      <c r="SJ27" s="85"/>
      <c r="SK27" s="85"/>
      <c r="SL27" s="85"/>
      <c r="SM27" s="85"/>
      <c r="SN27" s="85"/>
      <c r="SO27" s="85"/>
      <c r="SP27" s="85"/>
      <c r="SQ27" s="85"/>
      <c r="SR27" s="85"/>
      <c r="SS27" s="85"/>
      <c r="ST27" s="85"/>
      <c r="SU27" s="85"/>
      <c r="SV27" s="85"/>
      <c r="SW27" s="85"/>
      <c r="SX27" s="85"/>
      <c r="SY27" s="85"/>
      <c r="SZ27" s="85"/>
      <c r="TA27" s="85"/>
      <c r="TB27" s="85"/>
      <c r="TC27" s="85"/>
      <c r="TD27" s="85"/>
      <c r="TE27" s="85"/>
      <c r="TF27" s="85"/>
      <c r="TG27" s="85"/>
      <c r="TH27" s="85"/>
      <c r="TI27" s="85"/>
      <c r="TJ27" s="85"/>
      <c r="TK27" s="85"/>
      <c r="TL27" s="85"/>
      <c r="TM27" s="85"/>
      <c r="TN27" s="85"/>
      <c r="TO27" s="85"/>
      <c r="TP27" s="85"/>
      <c r="TQ27" s="85"/>
      <c r="TR27" s="85"/>
      <c r="TS27" s="85"/>
      <c r="TT27" s="85"/>
      <c r="TU27" s="85"/>
      <c r="TV27" s="85"/>
      <c r="TW27" s="85"/>
      <c r="TX27" s="85"/>
      <c r="TY27" s="85"/>
      <c r="TZ27" s="85"/>
      <c r="UA27" s="85"/>
      <c r="UB27" s="85"/>
      <c r="UC27" s="85"/>
      <c r="UD27" s="85"/>
      <c r="UE27" s="85"/>
      <c r="UF27" s="85"/>
      <c r="UG27" s="85"/>
      <c r="UH27" s="85"/>
      <c r="UI27" s="85"/>
      <c r="UJ27" s="85"/>
      <c r="UK27" s="85"/>
      <c r="UL27" s="85"/>
      <c r="UM27" s="85"/>
      <c r="UN27" s="85"/>
      <c r="UO27" s="85"/>
      <c r="UP27" s="85"/>
      <c r="UQ27" s="85"/>
      <c r="UR27" s="85"/>
      <c r="US27" s="85"/>
      <c r="UT27" s="85"/>
      <c r="UU27" s="85"/>
      <c r="UV27" s="85"/>
      <c r="UW27" s="85"/>
      <c r="UX27" s="85"/>
      <c r="UY27" s="85"/>
      <c r="UZ27" s="85"/>
      <c r="VA27" s="85"/>
      <c r="VB27" s="85"/>
      <c r="VC27" s="85"/>
      <c r="VD27" s="85"/>
      <c r="VE27" s="85"/>
      <c r="VF27" s="85"/>
      <c r="VG27" s="85"/>
      <c r="VH27" s="85"/>
      <c r="VI27" s="85"/>
      <c r="VJ27" s="85"/>
      <c r="VK27" s="85"/>
      <c r="VL27" s="85"/>
      <c r="VM27" s="85"/>
      <c r="VN27" s="85"/>
      <c r="VO27" s="85"/>
      <c r="VP27" s="85"/>
      <c r="VQ27" s="85"/>
      <c r="VR27" s="85"/>
      <c r="VS27" s="85"/>
      <c r="VT27" s="85"/>
      <c r="VU27" s="85"/>
      <c r="VV27" s="85"/>
      <c r="VW27" s="85"/>
      <c r="VX27" s="85"/>
      <c r="VY27" s="85"/>
      <c r="VZ27" s="85"/>
      <c r="WA27" s="85"/>
      <c r="WB27" s="85"/>
      <c r="WC27" s="85"/>
      <c r="WD27" s="85"/>
      <c r="WE27" s="85"/>
      <c r="WF27" s="85"/>
      <c r="WG27" s="85"/>
      <c r="WH27" s="85"/>
      <c r="WI27" s="85"/>
      <c r="WJ27" s="85"/>
      <c r="WK27" s="85"/>
      <c r="WL27" s="85"/>
      <c r="WM27" s="85"/>
      <c r="WN27" s="85"/>
      <c r="WO27" s="85"/>
      <c r="WP27" s="85"/>
      <c r="WQ27" s="85"/>
      <c r="WR27" s="85"/>
      <c r="WS27" s="85"/>
      <c r="WT27" s="85"/>
      <c r="WU27" s="85"/>
      <c r="WV27" s="85"/>
      <c r="WW27" s="85"/>
      <c r="WX27" s="85"/>
      <c r="WY27" s="85"/>
      <c r="WZ27" s="85"/>
      <c r="XA27" s="85"/>
      <c r="XB27" s="85"/>
      <c r="XC27" s="85"/>
      <c r="XD27" s="85"/>
      <c r="XE27" s="85"/>
      <c r="XF27" s="85"/>
      <c r="XG27" s="85"/>
      <c r="XH27" s="85"/>
      <c r="XI27" s="85"/>
      <c r="XJ27" s="85"/>
      <c r="XK27" s="85"/>
      <c r="XL27" s="85"/>
      <c r="XM27" s="85"/>
      <c r="XN27" s="85"/>
      <c r="XO27" s="85"/>
      <c r="XP27" s="85"/>
      <c r="XQ27" s="85"/>
      <c r="XR27" s="85"/>
      <c r="XS27" s="85"/>
      <c r="XT27" s="85"/>
      <c r="XU27" s="85"/>
      <c r="XV27" s="85"/>
      <c r="XW27" s="85"/>
      <c r="XX27" s="85"/>
      <c r="XY27" s="85"/>
      <c r="XZ27" s="85"/>
      <c r="YA27" s="85"/>
      <c r="YB27" s="85"/>
      <c r="YC27" s="85"/>
      <c r="YD27" s="85"/>
      <c r="YE27" s="85"/>
      <c r="YF27" s="85"/>
      <c r="YG27" s="85"/>
      <c r="YH27" s="85"/>
      <c r="YI27" s="85"/>
      <c r="YJ27" s="85"/>
      <c r="YK27" s="85"/>
      <c r="YL27" s="85"/>
      <c r="YM27" s="85"/>
      <c r="YN27" s="85"/>
      <c r="YO27" s="85"/>
      <c r="YP27" s="85"/>
      <c r="YQ27" s="85"/>
      <c r="YR27" s="85"/>
      <c r="YS27" s="85"/>
      <c r="YT27" s="85"/>
      <c r="YU27" s="85"/>
      <c r="YV27" s="85"/>
      <c r="YW27" s="85"/>
      <c r="YX27" s="85"/>
      <c r="YY27" s="85"/>
      <c r="YZ27" s="85"/>
      <c r="ZA27" s="85"/>
      <c r="ZB27" s="85"/>
      <c r="ZC27" s="85"/>
      <c r="ZD27" s="85"/>
      <c r="ZE27" s="85"/>
      <c r="ZF27" s="85"/>
      <c r="ZG27" s="85"/>
      <c r="ZH27" s="85"/>
      <c r="ZI27" s="85"/>
      <c r="ZJ27" s="85"/>
      <c r="ZK27" s="85"/>
      <c r="ZL27" s="85"/>
      <c r="ZM27" s="85"/>
      <c r="ZN27" s="85"/>
      <c r="ZO27" s="85"/>
      <c r="ZP27" s="85"/>
      <c r="ZQ27" s="85"/>
      <c r="ZR27" s="85"/>
      <c r="ZS27" s="85"/>
      <c r="ZT27" s="85"/>
      <c r="ZU27" s="85"/>
      <c r="ZV27" s="85"/>
      <c r="ZW27" s="85"/>
      <c r="ZX27" s="85"/>
      <c r="ZY27" s="85"/>
      <c r="ZZ27" s="85"/>
      <c r="AAA27" s="85"/>
      <c r="AAB27" s="85"/>
      <c r="AAC27" s="85"/>
      <c r="AAD27" s="85"/>
      <c r="AAE27" s="85"/>
      <c r="AAF27" s="85"/>
      <c r="AAG27" s="85"/>
      <c r="AAH27" s="85"/>
      <c r="AAI27" s="85"/>
      <c r="AAJ27" s="85"/>
      <c r="AAK27" s="85"/>
      <c r="AAL27" s="85"/>
      <c r="AAM27" s="85"/>
      <c r="AAN27" s="85"/>
      <c r="AAO27" s="85"/>
      <c r="AAP27" s="85"/>
      <c r="AAQ27" s="85"/>
      <c r="AAR27" s="85"/>
      <c r="AAS27" s="85"/>
      <c r="AAT27" s="85"/>
      <c r="AAU27" s="85"/>
      <c r="AAV27" s="85"/>
      <c r="AAW27" s="85"/>
      <c r="AAX27" s="85"/>
      <c r="AAY27" s="85"/>
      <c r="AAZ27" s="85"/>
      <c r="ABA27" s="85"/>
      <c r="ABB27" s="85"/>
      <c r="ABC27" s="85"/>
      <c r="ABD27" s="85"/>
      <c r="ABE27" s="85"/>
      <c r="ABF27" s="85"/>
      <c r="ABG27" s="85"/>
      <c r="ABH27" s="85"/>
      <c r="ABI27" s="85"/>
      <c r="ABJ27" s="85"/>
      <c r="ABK27" s="85"/>
      <c r="ABL27" s="85"/>
      <c r="ABM27" s="85"/>
      <c r="ABN27" s="85"/>
      <c r="ABO27" s="85"/>
      <c r="ABP27" s="85"/>
      <c r="ABQ27" s="85"/>
      <c r="ABR27" s="85"/>
      <c r="ABS27" s="85"/>
      <c r="ABT27" s="85"/>
      <c r="ABU27" s="85"/>
      <c r="ABV27" s="85"/>
      <c r="ABW27" s="85"/>
      <c r="ABX27" s="85"/>
      <c r="ABY27" s="85"/>
      <c r="ABZ27" s="85"/>
      <c r="ACA27" s="85"/>
      <c r="ACB27" s="85"/>
      <c r="ACC27" s="85"/>
      <c r="ACD27" s="85"/>
      <c r="ACE27" s="85"/>
      <c r="ACF27" s="85"/>
      <c r="ACG27" s="85"/>
      <c r="ACH27" s="85"/>
      <c r="ACI27" s="85"/>
      <c r="ACJ27" s="85"/>
      <c r="ACK27" s="85"/>
      <c r="ACL27" s="85"/>
      <c r="ACM27" s="85"/>
      <c r="ACN27" s="85"/>
      <c r="ACO27" s="85"/>
      <c r="ACP27" s="85"/>
      <c r="ACQ27" s="85"/>
      <c r="ACR27" s="85"/>
      <c r="ACS27" s="85"/>
      <c r="ACT27" s="85"/>
      <c r="ACU27" s="85"/>
      <c r="ACV27" s="85"/>
      <c r="ACW27" s="85"/>
      <c r="ACX27" s="85"/>
      <c r="ACY27" s="85"/>
      <c r="ACZ27" s="85"/>
      <c r="ADA27" s="85"/>
      <c r="ADB27" s="85"/>
      <c r="ADC27" s="85"/>
      <c r="ADD27" s="85"/>
      <c r="ADE27" s="85"/>
      <c r="ADF27" s="85"/>
      <c r="ADG27" s="85"/>
      <c r="ADH27" s="85"/>
      <c r="ADI27" s="85"/>
      <c r="ADJ27" s="85"/>
      <c r="ADK27" s="85"/>
      <c r="ADL27" s="85"/>
      <c r="ADM27" s="85"/>
      <c r="ADN27" s="85"/>
      <c r="ADO27" s="85"/>
      <c r="ADP27" s="85"/>
      <c r="ADQ27" s="85"/>
      <c r="ADR27" s="85"/>
      <c r="ADS27" s="85"/>
      <c r="ADT27" s="85"/>
      <c r="ADU27" s="85"/>
      <c r="ADV27" s="85"/>
      <c r="ADW27" s="85"/>
      <c r="ADX27" s="85"/>
      <c r="ADY27" s="85"/>
      <c r="ADZ27" s="85"/>
      <c r="AEA27" s="85"/>
      <c r="AEB27" s="85"/>
      <c r="AEC27" s="85"/>
      <c r="AED27" s="85"/>
      <c r="AEE27" s="85"/>
      <c r="AEF27" s="85"/>
      <c r="AEG27" s="85"/>
      <c r="AEH27" s="85"/>
      <c r="AEI27" s="85"/>
      <c r="AEJ27" s="85"/>
      <c r="AEK27" s="85"/>
      <c r="AEL27" s="85"/>
      <c r="AEM27" s="85"/>
      <c r="AEN27" s="85"/>
      <c r="AEO27" s="85"/>
      <c r="AEP27" s="85"/>
      <c r="AEQ27" s="85"/>
      <c r="AER27" s="85"/>
      <c r="AES27" s="85"/>
      <c r="AET27" s="85"/>
      <c r="AEU27" s="85"/>
      <c r="AEV27" s="85"/>
      <c r="AEW27" s="85"/>
      <c r="AEX27" s="85"/>
      <c r="AEY27" s="85"/>
      <c r="AEZ27" s="85"/>
      <c r="AFA27" s="85"/>
      <c r="AFB27" s="85"/>
      <c r="AFC27" s="85"/>
      <c r="AFD27" s="85"/>
      <c r="AFE27" s="85"/>
      <c r="AFF27" s="85"/>
      <c r="AFG27" s="85"/>
      <c r="AFH27" s="85"/>
      <c r="AFI27" s="85"/>
      <c r="AFJ27" s="85"/>
      <c r="AFK27" s="85"/>
      <c r="AFL27" s="85"/>
      <c r="AFM27" s="85"/>
      <c r="AFN27" s="85"/>
      <c r="AFO27" s="85"/>
      <c r="AFP27" s="85"/>
      <c r="AFQ27" s="85"/>
      <c r="AFR27" s="85"/>
      <c r="AFS27" s="85"/>
      <c r="AFT27" s="85"/>
      <c r="AFU27" s="85"/>
      <c r="AFV27" s="85"/>
      <c r="AFW27" s="85"/>
      <c r="AFX27" s="85"/>
      <c r="AFY27" s="85"/>
      <c r="AFZ27" s="85"/>
      <c r="AGA27" s="85"/>
      <c r="AGB27" s="85"/>
      <c r="AGC27" s="85"/>
      <c r="AGD27" s="85"/>
      <c r="AGE27" s="85"/>
      <c r="AGF27" s="85"/>
      <c r="AGG27" s="85"/>
      <c r="AGH27" s="85"/>
      <c r="AGI27" s="85"/>
      <c r="AGJ27" s="85"/>
      <c r="AGK27" s="85"/>
      <c r="AGL27" s="85"/>
      <c r="AGM27" s="85"/>
      <c r="AGN27" s="85"/>
      <c r="AGO27" s="85"/>
      <c r="AGP27" s="85"/>
      <c r="AGQ27" s="85"/>
      <c r="AGR27" s="85"/>
      <c r="AGS27" s="85"/>
      <c r="AGT27" s="85"/>
      <c r="AGU27" s="85"/>
      <c r="AGV27" s="85"/>
      <c r="AGW27" s="85"/>
      <c r="AGX27" s="85"/>
      <c r="AGY27" s="85"/>
      <c r="AGZ27" s="85"/>
      <c r="AHA27" s="85"/>
      <c r="AHB27" s="85"/>
      <c r="AHC27" s="85"/>
      <c r="AHD27" s="85"/>
      <c r="AHE27" s="85"/>
      <c r="AHF27" s="85"/>
      <c r="AHG27" s="85"/>
      <c r="AHH27" s="85"/>
      <c r="AHI27" s="85"/>
      <c r="AHJ27" s="85"/>
      <c r="AHK27" s="85"/>
      <c r="AHL27" s="85"/>
      <c r="AHM27" s="85"/>
      <c r="AHN27" s="85"/>
      <c r="AHO27" s="85"/>
      <c r="AHP27" s="85"/>
      <c r="AHQ27" s="85"/>
      <c r="AHR27" s="85"/>
      <c r="AHS27" s="85"/>
      <c r="AHT27" s="85"/>
      <c r="AHU27" s="85"/>
      <c r="AHV27" s="85"/>
      <c r="AHW27" s="85"/>
      <c r="AHX27" s="85"/>
      <c r="AHY27" s="85"/>
      <c r="AHZ27" s="85"/>
      <c r="AIA27" s="85"/>
      <c r="AIB27" s="85"/>
      <c r="AIC27" s="85"/>
      <c r="AID27" s="85"/>
      <c r="AIE27" s="85"/>
      <c r="AIF27" s="85"/>
      <c r="AIG27" s="85"/>
      <c r="AIH27" s="85"/>
      <c r="AII27" s="85"/>
      <c r="AIJ27" s="85"/>
      <c r="AIK27" s="85"/>
      <c r="AIL27" s="85"/>
      <c r="AIM27" s="85"/>
      <c r="AIN27" s="85"/>
      <c r="AIO27" s="85"/>
      <c r="AIP27" s="85"/>
      <c r="AIQ27" s="85"/>
      <c r="AIR27" s="85"/>
      <c r="AIS27" s="85"/>
      <c r="AIT27" s="85"/>
      <c r="AIU27" s="85"/>
      <c r="AIV27" s="85"/>
      <c r="AIW27" s="85"/>
      <c r="AIX27" s="85"/>
      <c r="AIY27" s="85"/>
      <c r="AIZ27" s="85"/>
      <c r="AJA27" s="85"/>
      <c r="AJB27" s="85"/>
      <c r="AJC27" s="85"/>
      <c r="AJD27" s="85"/>
      <c r="AJE27" s="85"/>
      <c r="AJF27" s="85"/>
      <c r="AJG27" s="85"/>
      <c r="AJH27" s="85"/>
      <c r="AJI27" s="85"/>
      <c r="AJJ27" s="85"/>
      <c r="AJK27" s="85"/>
      <c r="AJL27" s="85"/>
      <c r="AJM27" s="85"/>
      <c r="AJN27" s="85"/>
      <c r="AJO27" s="85"/>
      <c r="AJP27" s="85"/>
      <c r="AJQ27" s="85"/>
      <c r="AJR27" s="85"/>
      <c r="AJS27" s="85"/>
      <c r="AJT27" s="85"/>
      <c r="AJU27" s="85"/>
      <c r="AJV27" s="85"/>
      <c r="AJW27" s="85"/>
      <c r="AJX27" s="85"/>
      <c r="AJY27" s="85"/>
      <c r="AJZ27" s="85"/>
      <c r="AKA27" s="85"/>
      <c r="AKB27" s="85"/>
      <c r="AKC27" s="85"/>
      <c r="AKD27" s="85"/>
      <c r="AKE27" s="85"/>
      <c r="AKF27" s="85"/>
      <c r="AKG27" s="85"/>
      <c r="AKH27" s="85"/>
      <c r="AKI27" s="85"/>
      <c r="AKJ27" s="85"/>
      <c r="AKK27" s="85"/>
      <c r="AKL27" s="85"/>
      <c r="AKM27" s="85"/>
      <c r="AKN27" s="85"/>
      <c r="AKO27" s="85"/>
      <c r="AKP27" s="85"/>
      <c r="AKQ27" s="85"/>
      <c r="AKR27" s="85"/>
      <c r="AKS27" s="85"/>
      <c r="AKT27" s="85"/>
      <c r="AKU27" s="85"/>
      <c r="AKV27" s="85"/>
      <c r="AKW27" s="85"/>
      <c r="AKX27" s="85"/>
      <c r="AKY27" s="85"/>
      <c r="AKZ27" s="85"/>
      <c r="ALA27" s="85"/>
      <c r="ALB27" s="85"/>
      <c r="ALC27" s="85"/>
      <c r="ALD27" s="85"/>
      <c r="ALE27" s="85"/>
      <c r="ALF27" s="85"/>
      <c r="ALG27" s="85"/>
      <c r="ALH27" s="85"/>
      <c r="ALI27" s="85"/>
      <c r="ALJ27" s="85"/>
      <c r="ALK27" s="85"/>
      <c r="ALL27" s="85"/>
      <c r="ALM27" s="85"/>
      <c r="ALN27" s="85"/>
      <c r="ALO27" s="85"/>
      <c r="ALP27" s="85"/>
      <c r="ALQ27" s="85"/>
      <c r="ALR27" s="85"/>
      <c r="ALS27" s="85"/>
      <c r="ALT27" s="85"/>
      <c r="ALU27" s="85"/>
      <c r="ALV27" s="85"/>
      <c r="ALW27" s="85"/>
      <c r="ALX27" s="85"/>
      <c r="ALY27" s="85"/>
      <c r="ALZ27" s="85"/>
      <c r="AMA27" s="85"/>
      <c r="AMB27" s="85"/>
      <c r="AMC27" s="85"/>
      <c r="AMD27" s="85"/>
      <c r="AME27" s="85"/>
      <c r="AMF27" s="85"/>
      <c r="AMG27" s="85"/>
      <c r="AMH27" s="85"/>
      <c r="AMI27" s="85"/>
      <c r="AMJ27" s="85"/>
      <c r="AMK27" s="85"/>
      <c r="AML27" s="85"/>
      <c r="AMM27" s="85"/>
      <c r="AMN27" s="85"/>
      <c r="AMO27" s="85"/>
      <c r="AMP27" s="85"/>
      <c r="AMQ27" s="85"/>
      <c r="AMR27" s="85"/>
      <c r="AMS27" s="85"/>
      <c r="AMT27" s="85"/>
      <c r="AMU27" s="85"/>
      <c r="AMV27" s="85"/>
      <c r="AMW27" s="85"/>
      <c r="AMX27" s="85"/>
      <c r="AMY27" s="85"/>
      <c r="AMZ27" s="85"/>
      <c r="ANA27" s="85"/>
      <c r="ANB27" s="85"/>
      <c r="ANC27" s="85"/>
      <c r="AND27" s="85"/>
      <c r="ANE27" s="85"/>
      <c r="ANF27" s="85"/>
      <c r="ANG27" s="85"/>
      <c r="ANH27" s="85"/>
      <c r="ANI27" s="85"/>
      <c r="ANJ27" s="85"/>
      <c r="ANK27" s="85"/>
      <c r="ANL27" s="85"/>
      <c r="ANM27" s="85"/>
      <c r="ANN27" s="85"/>
      <c r="ANO27" s="85"/>
      <c r="ANP27" s="85"/>
      <c r="ANQ27" s="85"/>
      <c r="ANR27" s="85"/>
      <c r="ANS27" s="85"/>
      <c r="ANT27" s="85"/>
      <c r="ANU27" s="85"/>
      <c r="ANV27" s="85"/>
      <c r="ANW27" s="85"/>
      <c r="ANX27" s="85"/>
      <c r="ANY27" s="85"/>
      <c r="ANZ27" s="85"/>
      <c r="AOA27" s="85"/>
      <c r="AOB27" s="85"/>
      <c r="AOC27" s="85"/>
      <c r="AOD27" s="85"/>
      <c r="AOE27" s="85"/>
      <c r="AOF27" s="85"/>
      <c r="AOG27" s="85"/>
      <c r="AOH27" s="85"/>
      <c r="AOI27" s="85"/>
      <c r="AOJ27" s="85"/>
      <c r="AOK27" s="85"/>
      <c r="AOL27" s="85"/>
      <c r="AOM27" s="85"/>
      <c r="AON27" s="85"/>
      <c r="AOO27" s="85"/>
      <c r="AOP27" s="85"/>
      <c r="AOQ27" s="85"/>
      <c r="AOR27" s="85"/>
      <c r="AOS27" s="85"/>
      <c r="AOT27" s="85"/>
      <c r="AOU27" s="85"/>
      <c r="AOV27" s="85"/>
      <c r="AOW27" s="85"/>
      <c r="AOX27" s="85"/>
      <c r="AOY27" s="85"/>
      <c r="AOZ27" s="85"/>
      <c r="APA27" s="85"/>
      <c r="APB27" s="85"/>
      <c r="APC27" s="85"/>
      <c r="APD27" s="85"/>
      <c r="APE27" s="85"/>
      <c r="APF27" s="85"/>
      <c r="APG27" s="85"/>
      <c r="APH27" s="85"/>
      <c r="API27" s="85"/>
      <c r="APJ27" s="85"/>
      <c r="APK27" s="85"/>
      <c r="APL27" s="85"/>
      <c r="APM27" s="85"/>
      <c r="APN27" s="85"/>
      <c r="APO27" s="85"/>
      <c r="APP27" s="85"/>
      <c r="APQ27" s="85"/>
      <c r="APR27" s="85"/>
      <c r="APS27" s="85"/>
      <c r="APT27" s="85"/>
      <c r="APU27" s="85"/>
      <c r="APV27" s="85"/>
      <c r="APW27" s="85"/>
      <c r="APX27" s="85"/>
      <c r="APY27" s="85"/>
      <c r="APZ27" s="85"/>
      <c r="AQA27" s="85"/>
      <c r="AQB27" s="85"/>
      <c r="AQC27" s="85"/>
      <c r="AQD27" s="85"/>
      <c r="AQE27" s="85"/>
      <c r="AQF27" s="85"/>
      <c r="AQG27" s="85"/>
      <c r="AQH27" s="85"/>
      <c r="AQI27" s="85"/>
      <c r="AQJ27" s="85"/>
      <c r="AQK27" s="85"/>
      <c r="AQL27" s="85"/>
      <c r="AQM27" s="85"/>
      <c r="AQN27" s="85"/>
      <c r="AQO27" s="85"/>
      <c r="AQP27" s="85"/>
      <c r="AQQ27" s="85"/>
      <c r="AQR27" s="85"/>
      <c r="AQS27" s="85"/>
      <c r="AQT27" s="85"/>
      <c r="AQU27" s="85"/>
      <c r="AQV27" s="85"/>
      <c r="AQW27" s="85"/>
      <c r="AQX27" s="85"/>
      <c r="AQY27" s="85"/>
      <c r="AQZ27" s="85"/>
      <c r="ARA27" s="85"/>
      <c r="ARB27" s="85"/>
      <c r="ARC27" s="85"/>
      <c r="ARD27" s="85"/>
      <c r="ARE27" s="85"/>
      <c r="ARF27" s="85"/>
      <c r="ARG27" s="85"/>
      <c r="ARH27" s="85"/>
      <c r="ARI27" s="85"/>
      <c r="ARJ27" s="85"/>
      <c r="ARK27" s="85"/>
      <c r="ARL27" s="85"/>
      <c r="ARM27" s="85"/>
      <c r="ARN27" s="85"/>
      <c r="ARO27" s="85"/>
      <c r="ARP27" s="85"/>
      <c r="ARQ27" s="85"/>
      <c r="ARR27" s="85"/>
      <c r="ARS27" s="85"/>
      <c r="ART27" s="85"/>
      <c r="ARU27" s="85"/>
      <c r="ARV27" s="85"/>
      <c r="ARW27" s="85"/>
      <c r="ARX27" s="85"/>
      <c r="ARY27" s="85"/>
      <c r="ARZ27" s="85"/>
      <c r="ASA27" s="85"/>
      <c r="ASB27" s="85"/>
      <c r="ASC27" s="85"/>
      <c r="ASD27" s="85"/>
      <c r="ASE27" s="85"/>
      <c r="ASF27" s="85"/>
      <c r="ASG27" s="85"/>
      <c r="ASH27" s="85"/>
      <c r="ASI27" s="85"/>
      <c r="ASJ27" s="85"/>
      <c r="ASK27" s="85"/>
      <c r="ASL27" s="85"/>
      <c r="ASM27" s="85"/>
      <c r="ASN27" s="85"/>
      <c r="ASO27" s="85"/>
      <c r="ASP27" s="85"/>
      <c r="ASQ27" s="85"/>
      <c r="ASR27" s="85"/>
      <c r="ASS27" s="85"/>
      <c r="AST27" s="85"/>
      <c r="ASU27" s="85"/>
      <c r="ASV27" s="85"/>
      <c r="ASW27" s="85"/>
      <c r="ASX27" s="85"/>
      <c r="ASY27" s="85"/>
      <c r="ASZ27" s="85"/>
      <c r="ATA27" s="85"/>
      <c r="ATB27" s="85"/>
      <c r="ATC27" s="85"/>
      <c r="ATD27" s="85"/>
      <c r="ATE27" s="85"/>
      <c r="ATF27" s="85"/>
      <c r="ATG27" s="85"/>
      <c r="ATH27" s="85"/>
      <c r="ATI27" s="85"/>
      <c r="ATJ27" s="85"/>
      <c r="ATK27" s="85"/>
      <c r="ATL27" s="85"/>
      <c r="ATM27" s="85"/>
      <c r="ATN27" s="85"/>
      <c r="ATO27" s="85"/>
      <c r="ATP27" s="85"/>
      <c r="ATQ27" s="85"/>
      <c r="ATR27" s="85"/>
      <c r="ATS27" s="85"/>
      <c r="ATT27" s="85"/>
      <c r="ATU27" s="85"/>
      <c r="ATV27" s="85"/>
      <c r="ATW27" s="85"/>
      <c r="ATX27" s="85"/>
      <c r="ATY27" s="85"/>
      <c r="ATZ27" s="85"/>
      <c r="AUA27" s="85"/>
      <c r="AUB27" s="85"/>
      <c r="AUC27" s="85"/>
      <c r="AUD27" s="85"/>
      <c r="AUE27" s="85"/>
      <c r="AUF27" s="85"/>
      <c r="AUG27" s="85"/>
      <c r="AUH27" s="85"/>
      <c r="AUI27" s="85"/>
      <c r="AUJ27" s="85"/>
      <c r="AUK27" s="85"/>
      <c r="AUL27" s="85"/>
      <c r="AUM27" s="85"/>
      <c r="AUN27" s="85"/>
      <c r="AUO27" s="85"/>
      <c r="AUP27" s="85"/>
      <c r="AUQ27" s="85"/>
      <c r="AUR27" s="85"/>
      <c r="AUS27" s="85"/>
      <c r="AUT27" s="85"/>
      <c r="AUU27" s="85"/>
      <c r="AUV27" s="85"/>
      <c r="AUW27" s="85"/>
      <c r="AUX27" s="85"/>
      <c r="AUY27" s="85"/>
      <c r="AUZ27" s="85"/>
      <c r="AVA27" s="85"/>
      <c r="AVB27" s="85"/>
      <c r="AVC27" s="85"/>
      <c r="AVD27" s="85"/>
      <c r="AVE27" s="85"/>
      <c r="AVF27" s="85"/>
      <c r="AVG27" s="85"/>
      <c r="AVH27" s="85"/>
      <c r="AVI27" s="85"/>
      <c r="AVJ27" s="85"/>
      <c r="AVK27" s="85"/>
      <c r="AVL27" s="85"/>
      <c r="AVM27" s="85"/>
      <c r="AVN27" s="85"/>
      <c r="AVO27" s="85"/>
      <c r="AVP27" s="85"/>
      <c r="AVQ27" s="85"/>
      <c r="AVR27" s="85"/>
      <c r="AVS27" s="85"/>
      <c r="AVT27" s="85"/>
      <c r="AVU27" s="85"/>
      <c r="AVV27" s="85"/>
      <c r="AVW27" s="85"/>
      <c r="AVX27" s="85"/>
      <c r="AVY27" s="85"/>
      <c r="AVZ27" s="85"/>
      <c r="AWA27" s="85"/>
      <c r="AWB27" s="85"/>
      <c r="AWC27" s="85"/>
      <c r="AWD27" s="85"/>
      <c r="AWE27" s="85"/>
      <c r="AWF27" s="85"/>
      <c r="AWG27" s="85"/>
      <c r="AWH27" s="85"/>
      <c r="AWI27" s="85"/>
      <c r="AWJ27" s="85"/>
      <c r="AWK27" s="85"/>
      <c r="AWL27" s="85"/>
      <c r="AWM27" s="85"/>
      <c r="AWN27" s="85"/>
      <c r="AWO27" s="85"/>
      <c r="AWP27" s="85"/>
      <c r="AWQ27" s="85"/>
      <c r="AWR27" s="85"/>
      <c r="AWS27" s="85"/>
      <c r="AWT27" s="85"/>
      <c r="AWU27" s="85"/>
      <c r="AWV27" s="85"/>
      <c r="AWW27" s="85"/>
      <c r="AWX27" s="85"/>
      <c r="AWY27" s="85"/>
      <c r="AWZ27" s="85"/>
      <c r="AXA27" s="85"/>
      <c r="AXB27" s="85"/>
      <c r="AXC27" s="85"/>
      <c r="AXD27" s="85"/>
      <c r="AXE27" s="85"/>
      <c r="AXF27" s="85"/>
      <c r="AXG27" s="85"/>
      <c r="AXH27" s="85"/>
      <c r="AXI27" s="85"/>
      <c r="AXJ27" s="85"/>
      <c r="AXK27" s="85"/>
      <c r="AXL27" s="85"/>
      <c r="AXM27" s="85"/>
      <c r="AXN27" s="85"/>
      <c r="AXO27" s="85"/>
      <c r="AXP27" s="85"/>
      <c r="AXQ27" s="85"/>
      <c r="AXR27" s="85"/>
      <c r="AXS27" s="85"/>
      <c r="AXT27" s="85"/>
      <c r="AXU27" s="85"/>
      <c r="AXV27" s="85"/>
      <c r="AXW27" s="85"/>
      <c r="AXX27" s="85"/>
      <c r="AXY27" s="85"/>
      <c r="AXZ27" s="85"/>
      <c r="AYA27" s="85"/>
      <c r="AYB27" s="85"/>
      <c r="AYC27" s="85"/>
      <c r="AYD27" s="85"/>
      <c r="AYE27" s="85"/>
      <c r="AYF27" s="85"/>
      <c r="AYG27" s="85"/>
      <c r="AYH27" s="85"/>
      <c r="AYI27" s="85"/>
      <c r="AYJ27" s="85"/>
      <c r="AYK27" s="85"/>
      <c r="AYL27" s="85"/>
      <c r="AYM27" s="85"/>
      <c r="AYN27" s="85"/>
      <c r="AYO27" s="85"/>
      <c r="AYP27" s="85"/>
      <c r="AYQ27" s="85"/>
      <c r="AYR27" s="85"/>
      <c r="AYS27" s="85"/>
      <c r="AYT27" s="85"/>
      <c r="AYU27" s="85"/>
      <c r="AYV27" s="85"/>
      <c r="AYW27" s="85"/>
      <c r="AYX27" s="85"/>
      <c r="AYY27" s="85"/>
      <c r="AYZ27" s="85"/>
      <c r="AZA27" s="85"/>
      <c r="AZB27" s="85"/>
      <c r="AZC27" s="85"/>
      <c r="AZD27" s="85"/>
      <c r="AZE27" s="85"/>
      <c r="AZF27" s="85"/>
      <c r="AZG27" s="85"/>
      <c r="AZH27" s="85"/>
      <c r="AZI27" s="85"/>
      <c r="AZJ27" s="85"/>
      <c r="AZK27" s="85"/>
      <c r="AZL27" s="85"/>
      <c r="AZM27" s="85"/>
      <c r="AZN27" s="85"/>
      <c r="AZO27" s="85"/>
      <c r="AZP27" s="85"/>
      <c r="AZQ27" s="85"/>
      <c r="AZR27" s="85"/>
      <c r="AZS27" s="85"/>
      <c r="AZT27" s="85"/>
      <c r="AZU27" s="85"/>
      <c r="AZV27" s="85"/>
      <c r="AZW27" s="85"/>
      <c r="AZX27" s="85"/>
      <c r="AZY27" s="85"/>
      <c r="AZZ27" s="85"/>
      <c r="BAA27" s="85"/>
      <c r="BAB27" s="85"/>
      <c r="BAC27" s="85"/>
      <c r="BAD27" s="85"/>
      <c r="BAE27" s="85"/>
      <c r="BAF27" s="85"/>
      <c r="BAG27" s="85"/>
      <c r="BAH27" s="85"/>
      <c r="BAI27" s="85"/>
      <c r="BAJ27" s="85"/>
      <c r="BAK27" s="85"/>
      <c r="BAL27" s="85"/>
      <c r="BAM27" s="85"/>
      <c r="BAN27" s="85"/>
      <c r="BAO27" s="85"/>
      <c r="BAP27" s="85"/>
      <c r="BAQ27" s="85"/>
      <c r="BAR27" s="85"/>
      <c r="BAS27" s="85"/>
      <c r="BAT27" s="85"/>
      <c r="BAU27" s="85"/>
      <c r="BAV27" s="85"/>
      <c r="BAW27" s="85"/>
      <c r="BAX27" s="85"/>
      <c r="BAY27" s="85"/>
      <c r="BAZ27" s="85"/>
      <c r="BBA27" s="85"/>
      <c r="BBB27" s="85"/>
      <c r="BBC27" s="85"/>
      <c r="BBD27" s="85"/>
      <c r="BBE27" s="85"/>
      <c r="BBF27" s="85"/>
      <c r="BBG27" s="85"/>
      <c r="BBH27" s="85"/>
      <c r="BBI27" s="85"/>
      <c r="BBJ27" s="85"/>
      <c r="BBK27" s="85"/>
      <c r="BBL27" s="85"/>
      <c r="BBM27" s="85"/>
      <c r="BBN27" s="85"/>
      <c r="BBO27" s="85"/>
      <c r="BBP27" s="85"/>
      <c r="BBQ27" s="85"/>
      <c r="BBR27" s="85"/>
      <c r="BBS27" s="85"/>
      <c r="BBT27" s="85"/>
      <c r="BBU27" s="85"/>
      <c r="BBV27" s="85"/>
      <c r="BBW27" s="85"/>
      <c r="BBX27" s="85"/>
      <c r="BBY27" s="85"/>
      <c r="BBZ27" s="85"/>
      <c r="BCA27" s="85"/>
      <c r="BCB27" s="85"/>
      <c r="BCC27" s="85"/>
      <c r="BCD27" s="85"/>
      <c r="BCE27" s="85"/>
      <c r="BCF27" s="85"/>
      <c r="BCG27" s="85"/>
      <c r="BCH27" s="85"/>
      <c r="BCI27" s="85"/>
      <c r="BCJ27" s="85"/>
      <c r="BCK27" s="85"/>
      <c r="BCL27" s="85"/>
      <c r="BCM27" s="85"/>
      <c r="BCN27" s="85"/>
      <c r="BCO27" s="85"/>
      <c r="BCP27" s="85"/>
      <c r="BCQ27" s="85"/>
      <c r="BCR27" s="85"/>
      <c r="BCS27" s="85"/>
      <c r="BCT27" s="85"/>
      <c r="BCU27" s="85"/>
      <c r="BCV27" s="85"/>
      <c r="BCW27" s="85"/>
      <c r="BCX27" s="85"/>
      <c r="BCY27" s="85"/>
      <c r="BCZ27" s="85"/>
      <c r="BDA27" s="85"/>
      <c r="BDB27" s="85"/>
      <c r="BDC27" s="85"/>
      <c r="BDD27" s="85"/>
      <c r="BDE27" s="85"/>
      <c r="BDF27" s="85"/>
      <c r="BDG27" s="85"/>
      <c r="BDH27" s="85"/>
      <c r="BDI27" s="85"/>
      <c r="BDJ27" s="85"/>
      <c r="BDK27" s="85"/>
      <c r="BDL27" s="85"/>
      <c r="BDM27" s="85"/>
      <c r="BDN27" s="85"/>
      <c r="BDO27" s="85"/>
      <c r="BDP27" s="85"/>
      <c r="BDQ27" s="85"/>
      <c r="BDR27" s="85"/>
      <c r="BDS27" s="85"/>
      <c r="BDT27" s="85"/>
      <c r="BDU27" s="85"/>
      <c r="BDV27" s="85"/>
      <c r="BDW27" s="85"/>
      <c r="BDX27" s="85"/>
      <c r="BDY27" s="85"/>
      <c r="BDZ27" s="85"/>
      <c r="BEA27" s="85"/>
      <c r="BEB27" s="85"/>
      <c r="BEC27" s="85"/>
      <c r="BED27" s="85"/>
      <c r="BEE27" s="85"/>
      <c r="BEF27" s="85"/>
      <c r="BEG27" s="85"/>
      <c r="BEH27" s="85"/>
      <c r="BEI27" s="85"/>
      <c r="BEJ27" s="85"/>
      <c r="BEK27" s="85"/>
      <c r="BEL27" s="85"/>
      <c r="BEM27" s="85"/>
      <c r="BEN27" s="85"/>
      <c r="BEO27" s="85"/>
      <c r="BEP27" s="85"/>
      <c r="BEQ27" s="85"/>
      <c r="BER27" s="85"/>
      <c r="BES27" s="85"/>
      <c r="BET27" s="85"/>
      <c r="BEU27" s="85"/>
      <c r="BEV27" s="85"/>
      <c r="BEW27" s="85"/>
      <c r="BEX27" s="85"/>
      <c r="BEY27" s="85"/>
      <c r="BEZ27" s="85"/>
      <c r="BFA27" s="85"/>
      <c r="BFB27" s="85"/>
      <c r="BFC27" s="85"/>
      <c r="BFD27" s="85"/>
      <c r="BFE27" s="85"/>
      <c r="BFF27" s="85"/>
      <c r="BFG27" s="85"/>
      <c r="BFH27" s="85"/>
      <c r="BFI27" s="85"/>
      <c r="BFJ27" s="85"/>
      <c r="BFK27" s="85"/>
      <c r="BFL27" s="85"/>
      <c r="BFM27" s="85"/>
      <c r="BFN27" s="85"/>
      <c r="BFO27" s="85"/>
      <c r="BFP27" s="85"/>
      <c r="BFQ27" s="85"/>
      <c r="BFR27" s="85"/>
      <c r="BFS27" s="85"/>
      <c r="BFT27" s="85"/>
      <c r="BFU27" s="85"/>
      <c r="BFV27" s="85"/>
      <c r="BFW27" s="85"/>
      <c r="BFX27" s="85"/>
      <c r="BFY27" s="85"/>
      <c r="BFZ27" s="85"/>
      <c r="BGA27" s="85"/>
      <c r="BGB27" s="85"/>
      <c r="BGC27" s="85"/>
      <c r="BGD27" s="85"/>
      <c r="BGE27" s="85"/>
      <c r="BGF27" s="85"/>
      <c r="BGG27" s="85"/>
      <c r="BGH27" s="85"/>
      <c r="BGI27" s="85"/>
      <c r="BGJ27" s="85"/>
      <c r="BGK27" s="85"/>
      <c r="BGL27" s="85"/>
      <c r="BGM27" s="85"/>
      <c r="BGN27" s="85"/>
      <c r="BGO27" s="85"/>
      <c r="BGP27" s="85"/>
      <c r="BGQ27" s="85"/>
      <c r="BGR27" s="85"/>
      <c r="BGS27" s="85"/>
      <c r="BGT27" s="85"/>
      <c r="BGU27" s="85"/>
      <c r="BGV27" s="85"/>
      <c r="BGW27" s="85"/>
      <c r="BGX27" s="85"/>
      <c r="BGY27" s="85"/>
      <c r="BGZ27" s="85"/>
      <c r="BHA27" s="85"/>
      <c r="BHB27" s="85"/>
      <c r="BHC27" s="85"/>
      <c r="BHD27" s="85"/>
      <c r="BHE27" s="85"/>
      <c r="BHF27" s="85"/>
      <c r="BHG27" s="85"/>
      <c r="BHH27" s="85"/>
      <c r="BHI27" s="85"/>
      <c r="BHJ27" s="85"/>
      <c r="BHK27" s="85"/>
      <c r="BHL27" s="85"/>
      <c r="BHM27" s="85"/>
      <c r="BHN27" s="85"/>
      <c r="BHO27" s="85"/>
      <c r="BHP27" s="85"/>
      <c r="BHQ27" s="85"/>
      <c r="BHR27" s="85"/>
      <c r="BHS27" s="85"/>
      <c r="BHT27" s="85"/>
      <c r="BHU27" s="85"/>
      <c r="BHV27" s="85"/>
      <c r="BHW27" s="85"/>
      <c r="BHX27" s="85"/>
      <c r="BHY27" s="85"/>
      <c r="BHZ27" s="85"/>
      <c r="BIA27" s="85"/>
      <c r="BIB27" s="85"/>
      <c r="BIC27" s="85"/>
      <c r="BID27" s="85"/>
      <c r="BIE27" s="85"/>
      <c r="BIF27" s="85"/>
      <c r="BIG27" s="85"/>
      <c r="BIH27" s="85"/>
      <c r="BII27" s="85"/>
      <c r="BIJ27" s="85"/>
      <c r="BIK27" s="85"/>
      <c r="BIL27" s="85"/>
      <c r="BIM27" s="85"/>
      <c r="BIN27" s="85"/>
      <c r="BIO27" s="85"/>
      <c r="BIP27" s="85"/>
      <c r="BIQ27" s="85"/>
      <c r="BIR27" s="85"/>
      <c r="BIS27" s="85"/>
      <c r="BIT27" s="85"/>
      <c r="BIU27" s="85"/>
      <c r="BIV27" s="85"/>
      <c r="BIW27" s="85"/>
      <c r="BIX27" s="85"/>
      <c r="BIY27" s="85"/>
      <c r="BIZ27" s="85"/>
      <c r="BJA27" s="85"/>
      <c r="BJB27" s="85"/>
      <c r="BJC27" s="85"/>
      <c r="BJD27" s="85"/>
      <c r="BJE27" s="85"/>
      <c r="BJF27" s="85"/>
      <c r="BJG27" s="85"/>
      <c r="BJH27" s="85"/>
      <c r="BJI27" s="85"/>
      <c r="BJJ27" s="85"/>
      <c r="BJK27" s="85"/>
      <c r="BJL27" s="85"/>
      <c r="BJM27" s="85"/>
      <c r="BJN27" s="85"/>
      <c r="BJO27" s="85"/>
      <c r="BJP27" s="85"/>
      <c r="BJQ27" s="85"/>
      <c r="BJR27" s="85"/>
      <c r="BJS27" s="85"/>
      <c r="BJT27" s="85"/>
      <c r="BJU27" s="85"/>
      <c r="BJV27" s="85"/>
      <c r="BJW27" s="85"/>
      <c r="BJX27" s="85"/>
      <c r="BJY27" s="85"/>
      <c r="BJZ27" s="85"/>
      <c r="BKA27" s="85"/>
      <c r="BKB27" s="85"/>
      <c r="BKC27" s="85"/>
      <c r="BKD27" s="85"/>
      <c r="BKE27" s="85"/>
      <c r="BKF27" s="85"/>
      <c r="BKG27" s="85"/>
      <c r="BKH27" s="85"/>
      <c r="BKI27" s="85"/>
      <c r="BKJ27" s="85"/>
      <c r="BKK27" s="85"/>
      <c r="BKL27" s="85"/>
      <c r="BKM27" s="85"/>
      <c r="BKN27" s="85"/>
      <c r="BKO27" s="85"/>
      <c r="BKP27" s="85"/>
      <c r="BKQ27" s="85"/>
      <c r="BKR27" s="85"/>
      <c r="BKS27" s="85"/>
      <c r="BKT27" s="85"/>
      <c r="BKU27" s="85"/>
      <c r="BKV27" s="85"/>
      <c r="BKW27" s="85"/>
      <c r="BKX27" s="85"/>
      <c r="BKY27" s="85"/>
      <c r="BKZ27" s="85"/>
      <c r="BLA27" s="85"/>
      <c r="BLB27" s="85"/>
      <c r="BLC27" s="85"/>
      <c r="BLD27" s="85"/>
      <c r="BLE27" s="85"/>
      <c r="BLF27" s="85"/>
      <c r="BLG27" s="85"/>
      <c r="BLH27" s="85"/>
      <c r="BLI27" s="85"/>
      <c r="BLJ27" s="85"/>
      <c r="BLK27" s="85"/>
      <c r="BLL27" s="85"/>
      <c r="BLM27" s="85"/>
      <c r="BLN27" s="85"/>
      <c r="BLO27" s="85"/>
      <c r="BLP27" s="85"/>
      <c r="BLQ27" s="85"/>
      <c r="BLR27" s="85"/>
      <c r="BLS27" s="85"/>
      <c r="BLT27" s="85"/>
      <c r="BLU27" s="85"/>
      <c r="BLV27" s="85"/>
      <c r="BLW27" s="85"/>
      <c r="BLX27" s="85"/>
      <c r="BLY27" s="85"/>
      <c r="BLZ27" s="85"/>
      <c r="BMA27" s="85"/>
      <c r="BMB27" s="85"/>
      <c r="BMC27" s="85"/>
      <c r="BMD27" s="85"/>
      <c r="BME27" s="85"/>
      <c r="BMF27" s="85"/>
      <c r="BMG27" s="85"/>
      <c r="BMH27" s="85"/>
      <c r="BMI27" s="85"/>
      <c r="BMJ27" s="85"/>
      <c r="BMK27" s="85"/>
      <c r="BML27" s="85"/>
      <c r="BMM27" s="85"/>
      <c r="BMN27" s="85"/>
      <c r="BMO27" s="85"/>
      <c r="BMP27" s="85"/>
      <c r="BMQ27" s="85"/>
      <c r="BMR27" s="85"/>
      <c r="BMS27" s="85"/>
      <c r="BMT27" s="85"/>
      <c r="BMU27" s="85"/>
      <c r="BMV27" s="85"/>
      <c r="BMW27" s="85"/>
      <c r="BMX27" s="85"/>
      <c r="BMY27" s="85"/>
      <c r="BMZ27" s="85"/>
      <c r="BNA27" s="85"/>
      <c r="BNB27" s="85"/>
      <c r="BNC27" s="85"/>
      <c r="BND27" s="85"/>
      <c r="BNE27" s="85"/>
      <c r="BNF27" s="85"/>
      <c r="BNG27" s="85"/>
      <c r="BNH27" s="85"/>
      <c r="BNI27" s="85"/>
      <c r="BNJ27" s="85"/>
      <c r="BNK27" s="85"/>
      <c r="BNL27" s="85"/>
      <c r="BNM27" s="85"/>
      <c r="BNN27" s="85"/>
      <c r="BNO27" s="85"/>
      <c r="BNP27" s="85"/>
      <c r="BNQ27" s="85"/>
      <c r="BNR27" s="85"/>
      <c r="BNS27" s="85"/>
      <c r="BNT27" s="85"/>
      <c r="BNU27" s="85"/>
      <c r="BNV27" s="85"/>
      <c r="BNW27" s="85"/>
      <c r="BNX27" s="85"/>
      <c r="BNY27" s="85"/>
      <c r="BNZ27" s="85"/>
      <c r="BOA27" s="85"/>
      <c r="BOB27" s="85"/>
      <c r="BOC27" s="85"/>
      <c r="BOD27" s="85"/>
      <c r="BOE27" s="85"/>
      <c r="BOF27" s="85"/>
      <c r="BOG27" s="85"/>
      <c r="BOH27" s="85"/>
      <c r="BOI27" s="85"/>
      <c r="BOJ27" s="85"/>
      <c r="BOK27" s="85"/>
      <c r="BOL27" s="85"/>
      <c r="BOM27" s="85"/>
      <c r="BON27" s="85"/>
      <c r="BOO27" s="85"/>
      <c r="BOP27" s="85"/>
      <c r="BOQ27" s="85"/>
      <c r="BOR27" s="85"/>
      <c r="BOS27" s="85"/>
      <c r="BOT27" s="85"/>
      <c r="BOU27" s="85"/>
      <c r="BOV27" s="85"/>
      <c r="BOW27" s="85"/>
      <c r="BOX27" s="85"/>
      <c r="BOY27" s="85"/>
      <c r="BOZ27" s="85"/>
      <c r="BPA27" s="85"/>
      <c r="BPB27" s="85"/>
      <c r="BPC27" s="85"/>
      <c r="BPD27" s="85"/>
      <c r="BPE27" s="85"/>
      <c r="BPF27" s="85"/>
      <c r="BPG27" s="85"/>
      <c r="BPH27" s="85"/>
      <c r="BPI27" s="85"/>
      <c r="BPJ27" s="85"/>
      <c r="BPK27" s="85"/>
      <c r="BPL27" s="85"/>
      <c r="BPM27" s="85"/>
      <c r="BPN27" s="85"/>
      <c r="BPO27" s="85"/>
      <c r="BPP27" s="85"/>
      <c r="BPQ27" s="85"/>
      <c r="BPR27" s="85"/>
      <c r="BPS27" s="85"/>
      <c r="BPT27" s="85"/>
      <c r="BPU27" s="85"/>
      <c r="BPV27" s="85"/>
      <c r="BPW27" s="85"/>
      <c r="BPX27" s="85"/>
      <c r="BPY27" s="85"/>
      <c r="BPZ27" s="85"/>
      <c r="BQA27" s="85"/>
      <c r="BQB27" s="85"/>
      <c r="BQC27" s="85"/>
      <c r="BQD27" s="85"/>
      <c r="BQE27" s="85"/>
      <c r="BQF27" s="85"/>
      <c r="BQG27" s="85"/>
      <c r="BQH27" s="85"/>
      <c r="BQI27" s="85"/>
      <c r="BQJ27" s="85"/>
      <c r="BQK27" s="85"/>
      <c r="BQL27" s="85"/>
      <c r="BQM27" s="85"/>
      <c r="BQN27" s="85"/>
      <c r="BQO27" s="85"/>
      <c r="BQP27" s="85"/>
      <c r="BQQ27" s="85"/>
      <c r="BQR27" s="85"/>
      <c r="BQS27" s="85"/>
      <c r="BQT27" s="85"/>
      <c r="BQU27" s="85"/>
      <c r="BQV27" s="85"/>
      <c r="BQW27" s="85"/>
      <c r="BQX27" s="85"/>
      <c r="BQY27" s="85"/>
      <c r="BQZ27" s="85"/>
      <c r="BRA27" s="85"/>
      <c r="BRB27" s="85"/>
      <c r="BRC27" s="85"/>
      <c r="BRD27" s="85"/>
      <c r="BRE27" s="85"/>
      <c r="BRF27" s="85"/>
      <c r="BRG27" s="85"/>
      <c r="BRH27" s="85"/>
      <c r="BRI27" s="85"/>
      <c r="BRJ27" s="85"/>
      <c r="BRK27" s="85"/>
      <c r="BRL27" s="85"/>
      <c r="BRM27" s="85"/>
      <c r="BRN27" s="85"/>
      <c r="BRO27" s="85"/>
      <c r="BRP27" s="85"/>
      <c r="BRQ27" s="85"/>
      <c r="BRR27" s="85"/>
      <c r="BRS27" s="85"/>
      <c r="BRT27" s="85"/>
      <c r="BRU27" s="85"/>
      <c r="BRV27" s="85"/>
      <c r="BRW27" s="85"/>
      <c r="BRX27" s="85"/>
      <c r="BRY27" s="85"/>
      <c r="BRZ27" s="85"/>
      <c r="BSA27" s="85"/>
      <c r="BSB27" s="85"/>
      <c r="BSC27" s="85"/>
      <c r="BSD27" s="85"/>
      <c r="BSE27" s="85"/>
      <c r="BSF27" s="85"/>
      <c r="BSG27" s="85"/>
      <c r="BSH27" s="85"/>
      <c r="BSI27" s="85"/>
      <c r="BSJ27" s="85"/>
      <c r="BSK27" s="85"/>
      <c r="BSL27" s="85"/>
      <c r="BSM27" s="85"/>
      <c r="BSN27" s="85"/>
      <c r="BSO27" s="85"/>
      <c r="BSP27" s="85"/>
      <c r="BSQ27" s="85"/>
      <c r="BSR27" s="85"/>
      <c r="BSS27" s="85"/>
      <c r="BST27" s="85"/>
      <c r="BSU27" s="85"/>
      <c r="BSV27" s="85"/>
      <c r="BSW27" s="85"/>
      <c r="BSX27" s="85"/>
      <c r="BSY27" s="85"/>
      <c r="BSZ27" s="85"/>
      <c r="BTA27" s="85"/>
      <c r="BTB27" s="85"/>
      <c r="BTC27" s="85"/>
      <c r="BTD27" s="85"/>
      <c r="BTE27" s="85"/>
      <c r="BTF27" s="85"/>
      <c r="BTG27" s="85"/>
      <c r="BTH27" s="85"/>
      <c r="BTI27" s="85"/>
      <c r="BTJ27" s="85"/>
      <c r="BTK27" s="85"/>
      <c r="BTL27" s="85"/>
      <c r="BTM27" s="85"/>
      <c r="BTN27" s="85"/>
      <c r="BTO27" s="85"/>
      <c r="BTP27" s="85"/>
      <c r="BTQ27" s="85"/>
      <c r="BTR27" s="85"/>
      <c r="BTS27" s="85"/>
      <c r="BTT27" s="85"/>
      <c r="BTU27" s="85"/>
      <c r="BTV27" s="85"/>
      <c r="BTW27" s="85"/>
      <c r="BTX27" s="85"/>
      <c r="BTY27" s="85"/>
      <c r="BTZ27" s="85"/>
      <c r="BUA27" s="85"/>
      <c r="BUB27" s="85"/>
      <c r="BUC27" s="85"/>
      <c r="BUD27" s="85"/>
      <c r="BUE27" s="85"/>
      <c r="BUF27" s="85"/>
      <c r="BUG27" s="85"/>
      <c r="BUH27" s="85"/>
      <c r="BUI27" s="85"/>
      <c r="BUJ27" s="85"/>
      <c r="BUK27" s="85"/>
      <c r="BUL27" s="85"/>
      <c r="BUM27" s="85"/>
      <c r="BUN27" s="85"/>
      <c r="BUO27" s="85"/>
      <c r="BUP27" s="85"/>
      <c r="BUQ27" s="85"/>
      <c r="BUR27" s="85"/>
      <c r="BUS27" s="85"/>
      <c r="BUT27" s="85"/>
      <c r="BUU27" s="85"/>
      <c r="BUV27" s="85"/>
      <c r="BUW27" s="85"/>
      <c r="BUX27" s="85"/>
      <c r="BUY27" s="85"/>
      <c r="BUZ27" s="85"/>
      <c r="BVA27" s="85"/>
      <c r="BVB27" s="85"/>
      <c r="BVC27" s="85"/>
      <c r="BVD27" s="85"/>
      <c r="BVE27" s="85"/>
      <c r="BVF27" s="85"/>
      <c r="BVG27" s="85"/>
      <c r="BVH27" s="85"/>
      <c r="BVI27" s="85"/>
      <c r="BVJ27" s="85"/>
      <c r="BVK27" s="85"/>
      <c r="BVL27" s="85"/>
      <c r="BVM27" s="85"/>
      <c r="BVN27" s="85"/>
      <c r="BVO27" s="85"/>
      <c r="BVP27" s="85"/>
      <c r="BVQ27" s="85"/>
      <c r="BVR27" s="85"/>
      <c r="BVS27" s="85"/>
      <c r="BVT27" s="85"/>
      <c r="BVU27" s="85"/>
      <c r="BVV27" s="85"/>
      <c r="BVW27" s="85"/>
      <c r="BVX27" s="85"/>
      <c r="BVY27" s="85"/>
      <c r="BVZ27" s="85"/>
      <c r="BWA27" s="85"/>
      <c r="BWB27" s="85"/>
      <c r="BWC27" s="85"/>
      <c r="BWD27" s="85"/>
      <c r="BWE27" s="85"/>
      <c r="BWF27" s="85"/>
      <c r="BWG27" s="85"/>
      <c r="BWH27" s="85"/>
      <c r="BWI27" s="85"/>
      <c r="BWJ27" s="85"/>
      <c r="BWK27" s="85"/>
      <c r="BWL27" s="85"/>
      <c r="BWM27" s="85"/>
      <c r="BWN27" s="85"/>
      <c r="BWO27" s="85"/>
      <c r="BWP27" s="85"/>
      <c r="BWQ27" s="85"/>
      <c r="BWR27" s="85"/>
      <c r="BWS27" s="85"/>
      <c r="BWT27" s="85"/>
      <c r="BWU27" s="85"/>
      <c r="BWV27" s="85"/>
      <c r="BWW27" s="85"/>
      <c r="BWX27" s="85"/>
      <c r="BWY27" s="85"/>
      <c r="BWZ27" s="85"/>
      <c r="BXA27" s="85"/>
      <c r="BXB27" s="85"/>
      <c r="BXC27" s="85"/>
      <c r="BXD27" s="85"/>
      <c r="BXE27" s="85"/>
      <c r="BXF27" s="85"/>
      <c r="BXG27" s="85"/>
      <c r="BXH27" s="85"/>
      <c r="BXI27" s="85"/>
      <c r="BXJ27" s="85"/>
      <c r="BXK27" s="85"/>
      <c r="BXL27" s="85"/>
      <c r="BXM27" s="85"/>
      <c r="BXN27" s="85"/>
      <c r="BXO27" s="85"/>
      <c r="BXP27" s="85"/>
      <c r="BXQ27" s="85"/>
      <c r="BXR27" s="85"/>
      <c r="BXS27" s="85"/>
      <c r="BXT27" s="85"/>
      <c r="BXU27" s="85"/>
      <c r="BXV27" s="85"/>
      <c r="BXW27" s="85"/>
      <c r="BXX27" s="85"/>
      <c r="BXY27" s="85"/>
      <c r="BXZ27" s="85"/>
      <c r="BYA27" s="85"/>
      <c r="BYB27" s="85"/>
      <c r="BYC27" s="85"/>
      <c r="BYD27" s="85"/>
      <c r="BYE27" s="85"/>
      <c r="BYF27" s="85"/>
      <c r="BYG27" s="85"/>
      <c r="BYH27" s="85"/>
      <c r="BYI27" s="85"/>
      <c r="BYJ27" s="85"/>
      <c r="BYK27" s="85"/>
      <c r="BYL27" s="85"/>
      <c r="BYM27" s="85"/>
      <c r="BYN27" s="85"/>
      <c r="BYO27" s="85"/>
      <c r="BYP27" s="85"/>
      <c r="BYQ27" s="85"/>
      <c r="BYR27" s="85"/>
      <c r="BYS27" s="85"/>
      <c r="BYT27" s="85"/>
      <c r="BYU27" s="85"/>
      <c r="BYV27" s="85"/>
      <c r="BYW27" s="85"/>
      <c r="BYX27" s="85"/>
      <c r="BYY27" s="85"/>
      <c r="BYZ27" s="85"/>
      <c r="BZA27" s="85"/>
      <c r="BZB27" s="85"/>
      <c r="BZC27" s="85"/>
      <c r="BZD27" s="85"/>
      <c r="BZE27" s="85"/>
      <c r="BZF27" s="85"/>
      <c r="BZG27" s="85"/>
      <c r="BZH27" s="85"/>
      <c r="BZI27" s="85"/>
      <c r="BZJ27" s="85"/>
      <c r="BZK27" s="85"/>
      <c r="BZL27" s="85"/>
      <c r="BZM27" s="85"/>
      <c r="BZN27" s="85"/>
      <c r="BZO27" s="85"/>
      <c r="BZP27" s="85"/>
      <c r="BZQ27" s="85"/>
      <c r="BZR27" s="85"/>
      <c r="BZS27" s="85"/>
      <c r="BZT27" s="85"/>
      <c r="BZU27" s="85"/>
      <c r="BZV27" s="85"/>
      <c r="BZW27" s="85"/>
      <c r="BZX27" s="85"/>
      <c r="BZY27" s="85"/>
      <c r="BZZ27" s="85"/>
      <c r="CAA27" s="85"/>
      <c r="CAB27" s="85"/>
      <c r="CAC27" s="85"/>
      <c r="CAD27" s="85"/>
      <c r="CAE27" s="85"/>
      <c r="CAF27" s="85"/>
      <c r="CAG27" s="85"/>
      <c r="CAH27" s="85"/>
      <c r="CAI27" s="85"/>
      <c r="CAJ27" s="85"/>
      <c r="CAK27" s="85"/>
      <c r="CAL27" s="85"/>
      <c r="CAM27" s="85"/>
      <c r="CAN27" s="85"/>
      <c r="CAO27" s="85"/>
      <c r="CAP27" s="85"/>
      <c r="CAQ27" s="85"/>
      <c r="CAR27" s="85"/>
      <c r="CAS27" s="85"/>
      <c r="CAT27" s="85"/>
      <c r="CAU27" s="85"/>
      <c r="CAV27" s="85"/>
      <c r="CAW27" s="85"/>
      <c r="CAX27" s="85"/>
      <c r="CAY27" s="85"/>
      <c r="CAZ27" s="85"/>
      <c r="CBA27" s="85"/>
      <c r="CBB27" s="85"/>
      <c r="CBC27" s="85"/>
      <c r="CBD27" s="85"/>
      <c r="CBE27" s="85"/>
      <c r="CBF27" s="85"/>
      <c r="CBG27" s="85"/>
      <c r="CBH27" s="85"/>
      <c r="CBI27" s="85"/>
      <c r="CBJ27" s="85"/>
      <c r="CBK27" s="85"/>
      <c r="CBL27" s="85"/>
      <c r="CBM27" s="85"/>
      <c r="CBN27" s="85"/>
      <c r="CBO27" s="85"/>
      <c r="CBP27" s="85"/>
      <c r="CBQ27" s="85"/>
      <c r="CBR27" s="85"/>
      <c r="CBS27" s="85"/>
      <c r="CBT27" s="85"/>
      <c r="CBU27" s="85"/>
      <c r="CBV27" s="85"/>
      <c r="CBW27" s="85"/>
      <c r="CBX27" s="85"/>
      <c r="CBY27" s="85"/>
      <c r="CBZ27" s="85"/>
      <c r="CCA27" s="85"/>
      <c r="CCB27" s="85"/>
      <c r="CCC27" s="85"/>
      <c r="CCD27" s="85"/>
      <c r="CCE27" s="85"/>
      <c r="CCF27" s="85"/>
      <c r="CCG27" s="85"/>
      <c r="CCH27" s="85"/>
      <c r="CCI27" s="85"/>
      <c r="CCJ27" s="85"/>
      <c r="CCK27" s="85"/>
      <c r="CCL27" s="85"/>
      <c r="CCM27" s="85"/>
      <c r="CCN27" s="85"/>
      <c r="CCO27" s="85"/>
      <c r="CCP27" s="85"/>
      <c r="CCQ27" s="85"/>
      <c r="CCR27" s="85"/>
      <c r="CCS27" s="85"/>
      <c r="CCT27" s="85"/>
      <c r="CCU27" s="85"/>
      <c r="CCV27" s="85"/>
      <c r="CCW27" s="85"/>
      <c r="CCX27" s="85"/>
      <c r="CCY27" s="85"/>
      <c r="CCZ27" s="85"/>
      <c r="CDA27" s="85"/>
      <c r="CDB27" s="85"/>
      <c r="CDC27" s="85"/>
      <c r="CDD27" s="85"/>
      <c r="CDE27" s="85"/>
      <c r="CDF27" s="85"/>
      <c r="CDG27" s="85"/>
      <c r="CDH27" s="85"/>
      <c r="CDI27" s="85"/>
      <c r="CDJ27" s="85"/>
      <c r="CDK27" s="85"/>
      <c r="CDL27" s="85"/>
      <c r="CDM27" s="85"/>
      <c r="CDN27" s="85"/>
      <c r="CDO27" s="85"/>
      <c r="CDP27" s="85"/>
      <c r="CDQ27" s="85"/>
      <c r="CDR27" s="85"/>
      <c r="CDS27" s="85"/>
      <c r="CDT27" s="85"/>
      <c r="CDU27" s="85"/>
      <c r="CDV27" s="85"/>
      <c r="CDW27" s="85"/>
      <c r="CDX27" s="85"/>
      <c r="CDY27" s="85"/>
      <c r="CDZ27" s="85"/>
      <c r="CEA27" s="85"/>
      <c r="CEB27" s="85"/>
      <c r="CEC27" s="85"/>
      <c r="CED27" s="85"/>
      <c r="CEE27" s="85"/>
      <c r="CEF27" s="85"/>
      <c r="CEG27" s="85"/>
      <c r="CEH27" s="85"/>
      <c r="CEI27" s="85"/>
      <c r="CEJ27" s="85"/>
      <c r="CEK27" s="85"/>
      <c r="CEL27" s="85"/>
      <c r="CEM27" s="85"/>
      <c r="CEN27" s="85"/>
      <c r="CEO27" s="85"/>
      <c r="CEP27" s="85"/>
      <c r="CEQ27" s="85"/>
      <c r="CER27" s="85"/>
      <c r="CES27" s="85"/>
      <c r="CET27" s="85"/>
      <c r="CEU27" s="85"/>
      <c r="CEV27" s="85"/>
      <c r="CEW27" s="85"/>
      <c r="CEX27" s="85"/>
      <c r="CEY27" s="85"/>
      <c r="CEZ27" s="85"/>
      <c r="CFA27" s="85"/>
      <c r="CFB27" s="85"/>
      <c r="CFC27" s="85"/>
      <c r="CFD27" s="85"/>
      <c r="CFE27" s="85"/>
      <c r="CFF27" s="85"/>
      <c r="CFG27" s="85"/>
      <c r="CFH27" s="85"/>
      <c r="CFI27" s="85"/>
      <c r="CFJ27" s="85"/>
      <c r="CFK27" s="85"/>
      <c r="CFL27" s="85"/>
      <c r="CFM27" s="85"/>
      <c r="CFN27" s="85"/>
      <c r="CFO27" s="85"/>
      <c r="CFP27" s="85"/>
      <c r="CFQ27" s="85"/>
      <c r="CFR27" s="85"/>
      <c r="CFS27" s="85"/>
      <c r="CFT27" s="85"/>
      <c r="CFU27" s="85"/>
      <c r="CFV27" s="85"/>
      <c r="CFW27" s="85"/>
      <c r="CFX27" s="85"/>
      <c r="CFY27" s="85"/>
      <c r="CFZ27" s="85"/>
      <c r="CGA27" s="85"/>
      <c r="CGB27" s="85"/>
      <c r="CGC27" s="85"/>
      <c r="CGD27" s="85"/>
      <c r="CGE27" s="85"/>
      <c r="CGF27" s="85"/>
      <c r="CGG27" s="85"/>
      <c r="CGH27" s="85"/>
      <c r="CGI27" s="85"/>
      <c r="CGJ27" s="85"/>
      <c r="CGK27" s="85"/>
      <c r="CGL27" s="85"/>
      <c r="CGM27" s="85"/>
      <c r="CGN27" s="85"/>
      <c r="CGO27" s="85"/>
      <c r="CGP27" s="85"/>
      <c r="CGQ27" s="85"/>
      <c r="CGR27" s="85"/>
      <c r="CGS27" s="85"/>
      <c r="CGT27" s="85"/>
      <c r="CGU27" s="85"/>
      <c r="CGV27" s="85"/>
      <c r="CGW27" s="85"/>
      <c r="CGX27" s="85"/>
      <c r="CGY27" s="85"/>
      <c r="CGZ27" s="85"/>
      <c r="CHA27" s="85"/>
      <c r="CHB27" s="85"/>
      <c r="CHC27" s="85"/>
      <c r="CHD27" s="85"/>
      <c r="CHE27" s="85"/>
      <c r="CHF27" s="85"/>
      <c r="CHG27" s="85"/>
      <c r="CHH27" s="85"/>
      <c r="CHI27" s="85"/>
      <c r="CHJ27" s="85"/>
      <c r="CHK27" s="85"/>
      <c r="CHL27" s="85"/>
      <c r="CHM27" s="85"/>
      <c r="CHN27" s="85"/>
      <c r="CHO27" s="85"/>
      <c r="CHP27" s="85"/>
      <c r="CHQ27" s="85"/>
      <c r="CHR27" s="85"/>
      <c r="CHS27" s="85"/>
      <c r="CHT27" s="85"/>
      <c r="CHU27" s="85"/>
      <c r="CHV27" s="85"/>
      <c r="CHW27" s="85"/>
      <c r="CHX27" s="85"/>
      <c r="CHY27" s="85"/>
      <c r="CHZ27" s="85"/>
      <c r="CIA27" s="85"/>
      <c r="CIB27" s="85"/>
      <c r="CIC27" s="85"/>
      <c r="CID27" s="85"/>
      <c r="CIE27" s="85"/>
      <c r="CIF27" s="85"/>
      <c r="CIG27" s="85"/>
      <c r="CIH27" s="85"/>
      <c r="CII27" s="85"/>
      <c r="CIJ27" s="85"/>
      <c r="CIK27" s="85"/>
      <c r="CIL27" s="85"/>
      <c r="CIM27" s="85"/>
      <c r="CIN27" s="85"/>
      <c r="CIO27" s="85"/>
      <c r="CIP27" s="85"/>
      <c r="CIQ27" s="85"/>
      <c r="CIR27" s="85"/>
      <c r="CIS27" s="85"/>
      <c r="CIT27" s="85"/>
      <c r="CIU27" s="85"/>
      <c r="CIV27" s="85"/>
      <c r="CIW27" s="85"/>
      <c r="CIX27" s="85"/>
      <c r="CIY27" s="85"/>
      <c r="CIZ27" s="85"/>
      <c r="CJA27" s="85"/>
      <c r="CJB27" s="85"/>
      <c r="CJC27" s="85"/>
      <c r="CJD27" s="85"/>
      <c r="CJE27" s="85"/>
      <c r="CJF27" s="85"/>
      <c r="CJG27" s="85"/>
      <c r="CJH27" s="85"/>
      <c r="CJI27" s="85"/>
      <c r="CJJ27" s="85"/>
      <c r="CJK27" s="85"/>
      <c r="CJL27" s="85"/>
      <c r="CJM27" s="85"/>
      <c r="CJN27" s="85"/>
      <c r="CJO27" s="85"/>
      <c r="CJP27" s="85"/>
      <c r="CJQ27" s="85"/>
      <c r="CJR27" s="85"/>
      <c r="CJS27" s="85"/>
      <c r="CJT27" s="85"/>
      <c r="CJU27" s="85"/>
      <c r="CJV27" s="85"/>
      <c r="CJW27" s="85"/>
      <c r="CJX27" s="85"/>
      <c r="CJY27" s="85"/>
      <c r="CJZ27" s="85"/>
      <c r="CKA27" s="85"/>
      <c r="CKB27" s="85"/>
      <c r="CKC27" s="85"/>
      <c r="CKD27" s="85"/>
      <c r="CKE27" s="85"/>
      <c r="CKF27" s="85"/>
      <c r="CKG27" s="85"/>
      <c r="CKH27" s="85"/>
      <c r="CKI27" s="85"/>
      <c r="CKJ27" s="85"/>
      <c r="CKK27" s="85"/>
      <c r="CKL27" s="85"/>
      <c r="CKM27" s="85"/>
      <c r="CKN27" s="85"/>
      <c r="CKO27" s="85"/>
      <c r="CKP27" s="85"/>
      <c r="CKQ27" s="85"/>
      <c r="CKR27" s="85"/>
      <c r="CKS27" s="85"/>
      <c r="CKT27" s="85"/>
      <c r="CKU27" s="85"/>
      <c r="CKV27" s="85"/>
      <c r="CKW27" s="85"/>
      <c r="CKX27" s="85"/>
      <c r="CKY27" s="85"/>
      <c r="CKZ27" s="85"/>
      <c r="CLA27" s="85"/>
      <c r="CLB27" s="85"/>
      <c r="CLC27" s="85"/>
      <c r="CLD27" s="85"/>
      <c r="CLE27" s="85"/>
      <c r="CLF27" s="85"/>
      <c r="CLG27" s="85"/>
      <c r="CLH27" s="85"/>
      <c r="CLI27" s="85"/>
      <c r="CLJ27" s="85"/>
      <c r="CLK27" s="85"/>
      <c r="CLL27" s="85"/>
      <c r="CLM27" s="85"/>
      <c r="CLN27" s="85"/>
      <c r="CLO27" s="85"/>
      <c r="CLP27" s="85"/>
      <c r="CLQ27" s="85"/>
      <c r="CLR27" s="85"/>
      <c r="CLS27" s="85"/>
      <c r="CLT27" s="85"/>
      <c r="CLU27" s="85"/>
      <c r="CLV27" s="85"/>
      <c r="CLW27" s="85"/>
      <c r="CLX27" s="85"/>
      <c r="CLY27" s="85"/>
      <c r="CLZ27" s="85"/>
      <c r="CMA27" s="85"/>
      <c r="CMB27" s="85"/>
      <c r="CMC27" s="85"/>
      <c r="CMD27" s="85"/>
      <c r="CME27" s="85"/>
      <c r="CMF27" s="85"/>
      <c r="CMG27" s="85"/>
      <c r="CMH27" s="85"/>
      <c r="CMI27" s="85"/>
      <c r="CMJ27" s="85"/>
      <c r="CMK27" s="85"/>
      <c r="CML27" s="85"/>
      <c r="CMM27" s="85"/>
      <c r="CMN27" s="85"/>
      <c r="CMO27" s="85"/>
      <c r="CMP27" s="85"/>
      <c r="CMQ27" s="85"/>
      <c r="CMR27" s="85"/>
      <c r="CMS27" s="85"/>
      <c r="CMT27" s="85"/>
      <c r="CMU27" s="85"/>
      <c r="CMV27" s="85"/>
      <c r="CMW27" s="85"/>
      <c r="CMX27" s="85"/>
      <c r="CMY27" s="85"/>
      <c r="CMZ27" s="85"/>
      <c r="CNA27" s="85"/>
      <c r="CNB27" s="85"/>
      <c r="CNC27" s="85"/>
      <c r="CND27" s="85"/>
      <c r="CNE27" s="85"/>
      <c r="CNF27" s="85"/>
      <c r="CNG27" s="85"/>
      <c r="CNH27" s="85"/>
      <c r="CNI27" s="85"/>
      <c r="CNJ27" s="85"/>
      <c r="CNK27" s="85"/>
      <c r="CNL27" s="85"/>
      <c r="CNM27" s="85"/>
      <c r="CNN27" s="85"/>
      <c r="CNO27" s="85"/>
      <c r="CNP27" s="85"/>
      <c r="CNQ27" s="85"/>
      <c r="CNR27" s="85"/>
      <c r="CNS27" s="85"/>
      <c r="CNT27" s="85"/>
      <c r="CNU27" s="85"/>
      <c r="CNV27" s="85"/>
      <c r="CNW27" s="85"/>
      <c r="CNX27" s="85"/>
      <c r="CNY27" s="85"/>
      <c r="CNZ27" s="85"/>
      <c r="COA27" s="85"/>
      <c r="COB27" s="85"/>
      <c r="COC27" s="85"/>
      <c r="COD27" s="85"/>
      <c r="COE27" s="85"/>
      <c r="COF27" s="85"/>
      <c r="COG27" s="85"/>
      <c r="COH27" s="85"/>
      <c r="COI27" s="85"/>
      <c r="COJ27" s="85"/>
      <c r="COK27" s="85"/>
      <c r="COL27" s="85"/>
      <c r="COM27" s="85"/>
      <c r="CON27" s="85"/>
      <c r="COO27" s="85"/>
      <c r="COP27" s="85"/>
      <c r="COQ27" s="85"/>
      <c r="COR27" s="85"/>
      <c r="COS27" s="85"/>
      <c r="COT27" s="85"/>
      <c r="COU27" s="85"/>
      <c r="COV27" s="85"/>
      <c r="COW27" s="85"/>
      <c r="COX27" s="85"/>
      <c r="COY27" s="85"/>
      <c r="COZ27" s="85"/>
      <c r="CPA27" s="85"/>
      <c r="CPB27" s="85"/>
      <c r="CPC27" s="85"/>
      <c r="CPD27" s="85"/>
      <c r="CPE27" s="85"/>
      <c r="CPF27" s="85"/>
      <c r="CPG27" s="85"/>
      <c r="CPH27" s="85"/>
      <c r="CPI27" s="85"/>
      <c r="CPJ27" s="85"/>
      <c r="CPK27" s="85"/>
      <c r="CPL27" s="85"/>
      <c r="CPM27" s="85"/>
      <c r="CPN27" s="85"/>
      <c r="CPO27" s="85"/>
      <c r="CPP27" s="85"/>
      <c r="CPQ27" s="85"/>
      <c r="CPR27" s="85"/>
      <c r="CPS27" s="85"/>
      <c r="CPT27" s="85"/>
      <c r="CPU27" s="85"/>
      <c r="CPV27" s="85"/>
      <c r="CPW27" s="85"/>
      <c r="CPX27" s="85"/>
      <c r="CPY27" s="85"/>
      <c r="CPZ27" s="85"/>
      <c r="CQA27" s="85"/>
      <c r="CQB27" s="85"/>
      <c r="CQC27" s="85"/>
      <c r="CQD27" s="85"/>
      <c r="CQE27" s="85"/>
      <c r="CQF27" s="85"/>
      <c r="CQG27" s="85"/>
      <c r="CQH27" s="85"/>
      <c r="CQI27" s="85"/>
      <c r="CQJ27" s="85"/>
      <c r="CQK27" s="85"/>
      <c r="CQL27" s="85"/>
      <c r="CQM27" s="85"/>
      <c r="CQN27" s="85"/>
      <c r="CQO27" s="85"/>
      <c r="CQP27" s="85"/>
      <c r="CQQ27" s="85"/>
      <c r="CQR27" s="85"/>
      <c r="CQS27" s="85"/>
      <c r="CQT27" s="85"/>
      <c r="CQU27" s="85"/>
      <c r="CQV27" s="85"/>
      <c r="CQW27" s="85"/>
      <c r="CQX27" s="85"/>
      <c r="CQY27" s="85"/>
      <c r="CQZ27" s="85"/>
      <c r="CRA27" s="85"/>
      <c r="CRB27" s="85"/>
      <c r="CRC27" s="85"/>
      <c r="CRD27" s="85"/>
      <c r="CRE27" s="85"/>
      <c r="CRF27" s="85"/>
      <c r="CRG27" s="85"/>
      <c r="CRH27" s="85"/>
      <c r="CRI27" s="85"/>
      <c r="CRJ27" s="85"/>
      <c r="CRK27" s="85"/>
      <c r="CRL27" s="85"/>
      <c r="CRM27" s="85"/>
      <c r="CRN27" s="85"/>
      <c r="CRO27" s="85"/>
      <c r="CRP27" s="85"/>
      <c r="CRQ27" s="85"/>
      <c r="CRR27" s="85"/>
      <c r="CRS27" s="85"/>
      <c r="CRT27" s="85"/>
      <c r="CRU27" s="85"/>
      <c r="CRV27" s="85"/>
      <c r="CRW27" s="85"/>
      <c r="CRX27" s="85"/>
      <c r="CRY27" s="85"/>
      <c r="CRZ27" s="85"/>
      <c r="CSA27" s="85"/>
      <c r="CSB27" s="85"/>
      <c r="CSC27" s="85"/>
      <c r="CSD27" s="85"/>
      <c r="CSE27" s="85"/>
      <c r="CSF27" s="85"/>
      <c r="CSG27" s="85"/>
      <c r="CSH27" s="85"/>
      <c r="CSI27" s="85"/>
      <c r="CSJ27" s="85"/>
      <c r="CSK27" s="85"/>
      <c r="CSL27" s="85"/>
      <c r="CSM27" s="85"/>
      <c r="CSN27" s="85"/>
      <c r="CSO27" s="85"/>
      <c r="CSP27" s="85"/>
      <c r="CSQ27" s="85"/>
      <c r="CSR27" s="85"/>
      <c r="CSS27" s="85"/>
      <c r="CST27" s="85"/>
      <c r="CSU27" s="85"/>
      <c r="CSV27" s="85"/>
      <c r="CSW27" s="85"/>
      <c r="CSX27" s="85"/>
      <c r="CSY27" s="85"/>
      <c r="CSZ27" s="85"/>
      <c r="CTA27" s="85"/>
      <c r="CTB27" s="85"/>
      <c r="CTC27" s="85"/>
      <c r="CTD27" s="85"/>
      <c r="CTE27" s="85"/>
      <c r="CTF27" s="85"/>
      <c r="CTG27" s="85"/>
      <c r="CTH27" s="85"/>
      <c r="CTI27" s="85"/>
      <c r="CTJ27" s="85"/>
      <c r="CTK27" s="85"/>
      <c r="CTL27" s="85"/>
      <c r="CTM27" s="85"/>
      <c r="CTN27" s="85"/>
      <c r="CTO27" s="85"/>
      <c r="CTP27" s="85"/>
      <c r="CTQ27" s="85"/>
      <c r="CTR27" s="85"/>
      <c r="CTS27" s="85"/>
      <c r="CTT27" s="85"/>
      <c r="CTU27" s="85"/>
      <c r="CTV27" s="85"/>
      <c r="CTW27" s="85"/>
      <c r="CTX27" s="85"/>
      <c r="CTY27" s="85"/>
      <c r="CTZ27" s="85"/>
      <c r="CUA27" s="85"/>
      <c r="CUB27" s="85"/>
      <c r="CUC27" s="85"/>
      <c r="CUD27" s="85"/>
      <c r="CUE27" s="85"/>
      <c r="CUF27" s="85"/>
      <c r="CUG27" s="85"/>
      <c r="CUH27" s="85"/>
      <c r="CUI27" s="85"/>
      <c r="CUJ27" s="85"/>
      <c r="CUK27" s="85"/>
      <c r="CUL27" s="85"/>
      <c r="CUM27" s="85"/>
      <c r="CUN27" s="85"/>
      <c r="CUO27" s="85"/>
      <c r="CUP27" s="85"/>
      <c r="CUQ27" s="85"/>
      <c r="CUR27" s="85"/>
      <c r="CUS27" s="85"/>
      <c r="CUT27" s="85"/>
      <c r="CUU27" s="85"/>
      <c r="CUV27" s="85"/>
      <c r="CUW27" s="85"/>
      <c r="CUX27" s="85"/>
      <c r="CUY27" s="85"/>
      <c r="CUZ27" s="85"/>
      <c r="CVA27" s="85"/>
      <c r="CVB27" s="85"/>
      <c r="CVC27" s="85"/>
      <c r="CVD27" s="85"/>
      <c r="CVE27" s="85"/>
      <c r="CVF27" s="85"/>
      <c r="CVG27" s="85"/>
      <c r="CVH27" s="85"/>
      <c r="CVI27" s="85"/>
      <c r="CVJ27" s="85"/>
      <c r="CVK27" s="85"/>
      <c r="CVL27" s="85"/>
      <c r="CVM27" s="85"/>
      <c r="CVN27" s="85"/>
      <c r="CVO27" s="85"/>
      <c r="CVP27" s="85"/>
      <c r="CVQ27" s="85"/>
      <c r="CVR27" s="85"/>
      <c r="CVS27" s="85"/>
      <c r="CVT27" s="85"/>
      <c r="CVU27" s="85"/>
      <c r="CVV27" s="85"/>
      <c r="CVW27" s="85"/>
      <c r="CVX27" s="85"/>
      <c r="CVY27" s="85"/>
      <c r="CVZ27" s="85"/>
      <c r="CWA27" s="85"/>
      <c r="CWB27" s="85"/>
      <c r="CWC27" s="85"/>
      <c r="CWD27" s="85"/>
      <c r="CWE27" s="85"/>
      <c r="CWF27" s="85"/>
      <c r="CWG27" s="85"/>
      <c r="CWH27" s="85"/>
      <c r="CWI27" s="85"/>
      <c r="CWJ27" s="85"/>
      <c r="CWK27" s="85"/>
      <c r="CWL27" s="85"/>
      <c r="CWM27" s="85"/>
      <c r="CWN27" s="85"/>
      <c r="CWO27" s="85"/>
      <c r="CWP27" s="85"/>
      <c r="CWQ27" s="85"/>
      <c r="CWR27" s="85"/>
      <c r="CWS27" s="85"/>
      <c r="CWT27" s="85"/>
      <c r="CWU27" s="85"/>
      <c r="CWV27" s="85"/>
      <c r="CWW27" s="85"/>
      <c r="CWX27" s="85"/>
      <c r="CWY27" s="85"/>
      <c r="CWZ27" s="85"/>
      <c r="CXA27" s="85"/>
      <c r="CXB27" s="85"/>
      <c r="CXC27" s="85"/>
      <c r="CXD27" s="85"/>
      <c r="CXE27" s="85"/>
      <c r="CXF27" s="85"/>
      <c r="CXG27" s="85"/>
      <c r="CXH27" s="85"/>
      <c r="CXI27" s="85"/>
      <c r="CXJ27" s="85"/>
      <c r="CXK27" s="85"/>
      <c r="CXL27" s="85"/>
      <c r="CXM27" s="85"/>
      <c r="CXN27" s="85"/>
      <c r="CXO27" s="85"/>
      <c r="CXP27" s="85"/>
      <c r="CXQ27" s="85"/>
      <c r="CXR27" s="85"/>
      <c r="CXS27" s="85"/>
      <c r="CXT27" s="85"/>
      <c r="CXU27" s="85"/>
      <c r="CXV27" s="85"/>
      <c r="CXW27" s="85"/>
      <c r="CXX27" s="85"/>
      <c r="CXY27" s="85"/>
      <c r="CXZ27" s="85"/>
      <c r="CYA27" s="85"/>
      <c r="CYB27" s="85"/>
      <c r="CYC27" s="85"/>
      <c r="CYD27" s="85"/>
      <c r="CYE27" s="85"/>
      <c r="CYF27" s="85"/>
      <c r="CYG27" s="85"/>
      <c r="CYH27" s="85"/>
      <c r="CYI27" s="85"/>
      <c r="CYJ27" s="85"/>
      <c r="CYK27" s="85"/>
      <c r="CYL27" s="85"/>
      <c r="CYM27" s="85"/>
      <c r="CYN27" s="85"/>
      <c r="CYO27" s="85"/>
      <c r="CYP27" s="85"/>
      <c r="CYQ27" s="85"/>
      <c r="CYR27" s="85"/>
      <c r="CYS27" s="85"/>
      <c r="CYT27" s="85"/>
      <c r="CYU27" s="85"/>
      <c r="CYV27" s="85"/>
      <c r="CYW27" s="85"/>
      <c r="CYX27" s="85"/>
      <c r="CYY27" s="85"/>
      <c r="CYZ27" s="85"/>
      <c r="CZA27" s="85"/>
      <c r="CZB27" s="85"/>
      <c r="CZC27" s="85"/>
      <c r="CZD27" s="85"/>
      <c r="CZE27" s="85"/>
      <c r="CZF27" s="85"/>
      <c r="CZG27" s="85"/>
      <c r="CZH27" s="85"/>
      <c r="CZI27" s="85"/>
      <c r="CZJ27" s="85"/>
      <c r="CZK27" s="85"/>
      <c r="CZL27" s="85"/>
      <c r="CZM27" s="85"/>
      <c r="CZN27" s="85"/>
      <c r="CZO27" s="85"/>
      <c r="CZP27" s="85"/>
      <c r="CZQ27" s="85"/>
      <c r="CZR27" s="85"/>
      <c r="CZS27" s="85"/>
      <c r="CZT27" s="85"/>
      <c r="CZU27" s="85"/>
      <c r="CZV27" s="85"/>
      <c r="CZW27" s="85"/>
      <c r="CZX27" s="85"/>
      <c r="CZY27" s="85"/>
      <c r="CZZ27" s="85"/>
      <c r="DAA27" s="85"/>
      <c r="DAB27" s="85"/>
      <c r="DAC27" s="85"/>
      <c r="DAD27" s="85"/>
      <c r="DAE27" s="85"/>
      <c r="DAF27" s="85"/>
      <c r="DAG27" s="85"/>
      <c r="DAH27" s="85"/>
      <c r="DAI27" s="85"/>
      <c r="DAJ27" s="85"/>
      <c r="DAK27" s="85"/>
      <c r="DAL27" s="85"/>
      <c r="DAM27" s="85"/>
      <c r="DAN27" s="85"/>
      <c r="DAO27" s="85"/>
      <c r="DAP27" s="85"/>
      <c r="DAQ27" s="85"/>
      <c r="DAR27" s="85"/>
      <c r="DAS27" s="85"/>
      <c r="DAT27" s="85"/>
      <c r="DAU27" s="85"/>
      <c r="DAV27" s="85"/>
      <c r="DAW27" s="85"/>
      <c r="DAX27" s="85"/>
      <c r="DAY27" s="85"/>
      <c r="DAZ27" s="85"/>
      <c r="DBA27" s="85"/>
      <c r="DBB27" s="85"/>
      <c r="DBC27" s="85"/>
      <c r="DBD27" s="85"/>
      <c r="DBE27" s="85"/>
      <c r="DBF27" s="85"/>
      <c r="DBG27" s="85"/>
      <c r="DBH27" s="85"/>
      <c r="DBI27" s="85"/>
      <c r="DBJ27" s="85"/>
      <c r="DBK27" s="85"/>
      <c r="DBL27" s="85"/>
      <c r="DBM27" s="85"/>
      <c r="DBN27" s="85"/>
      <c r="DBO27" s="85"/>
      <c r="DBP27" s="85"/>
      <c r="DBQ27" s="85"/>
      <c r="DBR27" s="85"/>
      <c r="DBS27" s="85"/>
      <c r="DBT27" s="85"/>
      <c r="DBU27" s="85"/>
      <c r="DBV27" s="85"/>
      <c r="DBW27" s="85"/>
      <c r="DBX27" s="85"/>
      <c r="DBY27" s="85"/>
      <c r="DBZ27" s="85"/>
      <c r="DCA27" s="85"/>
      <c r="DCB27" s="85"/>
      <c r="DCC27" s="85"/>
      <c r="DCD27" s="85"/>
      <c r="DCE27" s="85"/>
      <c r="DCF27" s="85"/>
      <c r="DCG27" s="85"/>
      <c r="DCH27" s="85"/>
      <c r="DCI27" s="85"/>
      <c r="DCJ27" s="85"/>
      <c r="DCK27" s="85"/>
      <c r="DCL27" s="85"/>
      <c r="DCM27" s="85"/>
      <c r="DCN27" s="85"/>
      <c r="DCO27" s="85"/>
      <c r="DCP27" s="85"/>
      <c r="DCQ27" s="85"/>
      <c r="DCR27" s="85"/>
      <c r="DCS27" s="85"/>
      <c r="DCT27" s="85"/>
      <c r="DCU27" s="85"/>
      <c r="DCV27" s="85"/>
      <c r="DCW27" s="85"/>
      <c r="DCX27" s="85"/>
      <c r="DCY27" s="85"/>
      <c r="DCZ27" s="85"/>
      <c r="DDA27" s="85"/>
      <c r="DDB27" s="85"/>
      <c r="DDC27" s="85"/>
      <c r="DDD27" s="85"/>
      <c r="DDE27" s="85"/>
      <c r="DDF27" s="85"/>
      <c r="DDG27" s="85"/>
      <c r="DDH27" s="85"/>
      <c r="DDI27" s="85"/>
      <c r="DDJ27" s="85"/>
      <c r="DDK27" s="85"/>
      <c r="DDL27" s="85"/>
      <c r="DDM27" s="85"/>
      <c r="DDN27" s="85"/>
      <c r="DDO27" s="85"/>
      <c r="DDP27" s="85"/>
      <c r="DDQ27" s="85"/>
      <c r="DDR27" s="85"/>
      <c r="DDS27" s="85"/>
      <c r="DDT27" s="85"/>
      <c r="DDU27" s="85"/>
      <c r="DDV27" s="85"/>
      <c r="DDW27" s="85"/>
      <c r="DDX27" s="85"/>
      <c r="DDY27" s="85"/>
      <c r="DDZ27" s="85"/>
      <c r="DEA27" s="85"/>
      <c r="DEB27" s="85"/>
      <c r="DEC27" s="85"/>
      <c r="DED27" s="85"/>
      <c r="DEE27" s="85"/>
      <c r="DEF27" s="85"/>
      <c r="DEG27" s="85"/>
      <c r="DEH27" s="85"/>
      <c r="DEI27" s="85"/>
      <c r="DEJ27" s="85"/>
      <c r="DEK27" s="85"/>
      <c r="DEL27" s="85"/>
      <c r="DEM27" s="85"/>
      <c r="DEN27" s="85"/>
      <c r="DEO27" s="85"/>
      <c r="DEP27" s="85"/>
      <c r="DEQ27" s="85"/>
      <c r="DER27" s="85"/>
      <c r="DES27" s="85"/>
      <c r="DET27" s="85"/>
      <c r="DEU27" s="85"/>
      <c r="DEV27" s="85"/>
      <c r="DEW27" s="85"/>
      <c r="DEX27" s="85"/>
      <c r="DEY27" s="85"/>
      <c r="DEZ27" s="85"/>
      <c r="DFA27" s="85"/>
      <c r="DFB27" s="85"/>
      <c r="DFC27" s="85"/>
      <c r="DFD27" s="85"/>
      <c r="DFE27" s="85"/>
      <c r="DFF27" s="85"/>
      <c r="DFG27" s="85"/>
      <c r="DFH27" s="85"/>
      <c r="DFI27" s="85"/>
      <c r="DFJ27" s="85"/>
      <c r="DFK27" s="85"/>
      <c r="DFL27" s="85"/>
      <c r="DFM27" s="85"/>
      <c r="DFN27" s="85"/>
      <c r="DFO27" s="85"/>
      <c r="DFP27" s="85"/>
      <c r="DFQ27" s="85"/>
      <c r="DFR27" s="85"/>
      <c r="DFS27" s="85"/>
      <c r="DFT27" s="85"/>
      <c r="DFU27" s="85"/>
      <c r="DFV27" s="85"/>
      <c r="DFW27" s="85"/>
      <c r="DFX27" s="85"/>
      <c r="DFY27" s="85"/>
      <c r="DFZ27" s="85"/>
      <c r="DGA27" s="85"/>
      <c r="DGB27" s="85"/>
      <c r="DGC27" s="85"/>
      <c r="DGD27" s="85"/>
      <c r="DGE27" s="85"/>
      <c r="DGF27" s="85"/>
      <c r="DGG27" s="85"/>
      <c r="DGH27" s="85"/>
      <c r="DGI27" s="85"/>
      <c r="DGJ27" s="85"/>
      <c r="DGK27" s="85"/>
      <c r="DGL27" s="85"/>
      <c r="DGM27" s="85"/>
      <c r="DGN27" s="85"/>
      <c r="DGO27" s="85"/>
      <c r="DGP27" s="85"/>
      <c r="DGQ27" s="85"/>
      <c r="DGR27" s="85"/>
      <c r="DGS27" s="85"/>
      <c r="DGT27" s="85"/>
      <c r="DGU27" s="85"/>
      <c r="DGV27" s="85"/>
      <c r="DGW27" s="85"/>
      <c r="DGX27" s="85"/>
      <c r="DGY27" s="85"/>
      <c r="DGZ27" s="85"/>
      <c r="DHA27" s="85"/>
      <c r="DHB27" s="85"/>
      <c r="DHC27" s="85"/>
      <c r="DHD27" s="85"/>
      <c r="DHE27" s="85"/>
      <c r="DHF27" s="85"/>
      <c r="DHG27" s="85"/>
      <c r="DHH27" s="85"/>
      <c r="DHI27" s="85"/>
      <c r="DHJ27" s="85"/>
      <c r="DHK27" s="85"/>
      <c r="DHL27" s="85"/>
      <c r="DHM27" s="85"/>
      <c r="DHN27" s="85"/>
      <c r="DHO27" s="85"/>
      <c r="DHP27" s="85"/>
      <c r="DHQ27" s="85"/>
      <c r="DHR27" s="85"/>
      <c r="DHS27" s="85"/>
      <c r="DHT27" s="85"/>
      <c r="DHU27" s="85"/>
      <c r="DHV27" s="85"/>
      <c r="DHW27" s="85"/>
      <c r="DHX27" s="85"/>
      <c r="DHY27" s="85"/>
      <c r="DHZ27" s="85"/>
      <c r="DIA27" s="85"/>
      <c r="DIB27" s="85"/>
      <c r="DIC27" s="85"/>
      <c r="DID27" s="85"/>
      <c r="DIE27" s="85"/>
      <c r="DIF27" s="85"/>
      <c r="DIG27" s="85"/>
      <c r="DIH27" s="85"/>
      <c r="DII27" s="85"/>
      <c r="DIJ27" s="85"/>
      <c r="DIK27" s="85"/>
      <c r="DIL27" s="85"/>
      <c r="DIM27" s="85"/>
      <c r="DIN27" s="85"/>
      <c r="DIO27" s="85"/>
      <c r="DIP27" s="85"/>
      <c r="DIQ27" s="85"/>
      <c r="DIR27" s="85"/>
      <c r="DIS27" s="85"/>
      <c r="DIT27" s="85"/>
      <c r="DIU27" s="85"/>
      <c r="DIV27" s="85"/>
      <c r="DIW27" s="85"/>
      <c r="DIX27" s="85"/>
      <c r="DIY27" s="85"/>
      <c r="DIZ27" s="85"/>
      <c r="DJA27" s="85"/>
      <c r="DJB27" s="85"/>
      <c r="DJC27" s="85"/>
      <c r="DJD27" s="85"/>
      <c r="DJE27" s="85"/>
      <c r="DJF27" s="85"/>
      <c r="DJG27" s="85"/>
      <c r="DJH27" s="85"/>
      <c r="DJI27" s="85"/>
      <c r="DJJ27" s="85"/>
      <c r="DJK27" s="85"/>
      <c r="DJL27" s="85"/>
      <c r="DJM27" s="85"/>
      <c r="DJN27" s="85"/>
      <c r="DJO27" s="85"/>
      <c r="DJP27" s="85"/>
      <c r="DJQ27" s="85"/>
      <c r="DJR27" s="85"/>
      <c r="DJS27" s="85"/>
      <c r="DJT27" s="85"/>
      <c r="DJU27" s="85"/>
      <c r="DJV27" s="85"/>
      <c r="DJW27" s="85"/>
      <c r="DJX27" s="85"/>
      <c r="DJY27" s="85"/>
      <c r="DJZ27" s="85"/>
      <c r="DKA27" s="85"/>
      <c r="DKB27" s="85"/>
      <c r="DKC27" s="85"/>
      <c r="DKD27" s="85"/>
      <c r="DKE27" s="85"/>
      <c r="DKF27" s="85"/>
      <c r="DKG27" s="85"/>
      <c r="DKH27" s="85"/>
      <c r="DKI27" s="85"/>
      <c r="DKJ27" s="85"/>
      <c r="DKK27" s="85"/>
      <c r="DKL27" s="85"/>
      <c r="DKM27" s="85"/>
      <c r="DKN27" s="85"/>
      <c r="DKO27" s="85"/>
      <c r="DKP27" s="85"/>
      <c r="DKQ27" s="85"/>
      <c r="DKR27" s="85"/>
      <c r="DKS27" s="85"/>
      <c r="DKT27" s="85"/>
      <c r="DKU27" s="85"/>
      <c r="DKV27" s="85"/>
      <c r="DKW27" s="85"/>
      <c r="DKX27" s="85"/>
      <c r="DKY27" s="85"/>
      <c r="DKZ27" s="85"/>
      <c r="DLA27" s="85"/>
      <c r="DLB27" s="85"/>
      <c r="DLC27" s="85"/>
      <c r="DLD27" s="85"/>
      <c r="DLE27" s="85"/>
      <c r="DLF27" s="85"/>
      <c r="DLG27" s="85"/>
      <c r="DLH27" s="85"/>
      <c r="DLI27" s="85"/>
      <c r="DLJ27" s="85"/>
      <c r="DLK27" s="85"/>
      <c r="DLL27" s="85"/>
      <c r="DLM27" s="85"/>
      <c r="DLN27" s="85"/>
      <c r="DLO27" s="85"/>
      <c r="DLP27" s="85"/>
      <c r="DLQ27" s="85"/>
      <c r="DLR27" s="85"/>
      <c r="DLS27" s="85"/>
      <c r="DLT27" s="85"/>
      <c r="DLU27" s="85"/>
      <c r="DLV27" s="85"/>
      <c r="DLW27" s="85"/>
      <c r="DLX27" s="85"/>
      <c r="DLY27" s="85"/>
      <c r="DLZ27" s="85"/>
      <c r="DMA27" s="85"/>
      <c r="DMB27" s="85"/>
      <c r="DMC27" s="85"/>
      <c r="DMD27" s="85"/>
      <c r="DME27" s="85"/>
      <c r="DMF27" s="85"/>
      <c r="DMG27" s="85"/>
      <c r="DMH27" s="85"/>
      <c r="DMI27" s="85"/>
      <c r="DMJ27" s="85"/>
      <c r="DMK27" s="85"/>
      <c r="DML27" s="85"/>
      <c r="DMM27" s="85"/>
      <c r="DMN27" s="85"/>
      <c r="DMO27" s="85"/>
      <c r="DMP27" s="85"/>
      <c r="DMQ27" s="85"/>
      <c r="DMR27" s="85"/>
      <c r="DMS27" s="85"/>
      <c r="DMT27" s="85"/>
      <c r="DMU27" s="85"/>
      <c r="DMV27" s="85"/>
      <c r="DMW27" s="85"/>
      <c r="DMX27" s="85"/>
      <c r="DMY27" s="85"/>
      <c r="DMZ27" s="85"/>
      <c r="DNA27" s="85"/>
      <c r="DNB27" s="85"/>
      <c r="DNC27" s="85"/>
      <c r="DND27" s="85"/>
      <c r="DNE27" s="85"/>
      <c r="DNF27" s="85"/>
      <c r="DNG27" s="85"/>
      <c r="DNH27" s="85"/>
      <c r="DNI27" s="85"/>
      <c r="DNJ27" s="85"/>
      <c r="DNK27" s="85"/>
      <c r="DNL27" s="85"/>
      <c r="DNM27" s="85"/>
      <c r="DNN27" s="85"/>
      <c r="DNO27" s="85"/>
      <c r="DNP27" s="85"/>
      <c r="DNQ27" s="85"/>
      <c r="DNR27" s="85"/>
      <c r="DNS27" s="85"/>
      <c r="DNT27" s="85"/>
      <c r="DNU27" s="85"/>
      <c r="DNV27" s="85"/>
      <c r="DNW27" s="85"/>
      <c r="DNX27" s="85"/>
      <c r="DNY27" s="85"/>
      <c r="DNZ27" s="85"/>
      <c r="DOA27" s="85"/>
      <c r="DOB27" s="85"/>
      <c r="DOC27" s="85"/>
      <c r="DOD27" s="85"/>
      <c r="DOE27" s="85"/>
      <c r="DOF27" s="85"/>
      <c r="DOG27" s="85"/>
      <c r="DOH27" s="85"/>
      <c r="DOI27" s="85"/>
      <c r="DOJ27" s="85"/>
      <c r="DOK27" s="85"/>
      <c r="DOL27" s="85"/>
      <c r="DOM27" s="85"/>
      <c r="DON27" s="85"/>
      <c r="DOO27" s="85"/>
      <c r="DOP27" s="85"/>
      <c r="DOQ27" s="85"/>
      <c r="DOR27" s="85"/>
      <c r="DOS27" s="85"/>
      <c r="DOT27" s="85"/>
      <c r="DOU27" s="85"/>
      <c r="DOV27" s="85"/>
      <c r="DOW27" s="85"/>
      <c r="DOX27" s="85"/>
      <c r="DOY27" s="85"/>
      <c r="DOZ27" s="85"/>
      <c r="DPA27" s="85"/>
      <c r="DPB27" s="85"/>
      <c r="DPC27" s="85"/>
      <c r="DPD27" s="85"/>
      <c r="DPE27" s="85"/>
      <c r="DPF27" s="85"/>
      <c r="DPG27" s="85"/>
      <c r="DPH27" s="85"/>
      <c r="DPI27" s="85"/>
      <c r="DPJ27" s="85"/>
      <c r="DPK27" s="85"/>
      <c r="DPL27" s="85"/>
      <c r="DPM27" s="85"/>
      <c r="DPN27" s="85"/>
      <c r="DPO27" s="85"/>
      <c r="DPP27" s="85"/>
      <c r="DPQ27" s="85"/>
      <c r="DPR27" s="85"/>
      <c r="DPS27" s="85"/>
      <c r="DPT27" s="85"/>
      <c r="DPU27" s="85"/>
      <c r="DPV27" s="85"/>
      <c r="DPW27" s="85"/>
      <c r="DPX27" s="85"/>
      <c r="DPY27" s="85"/>
      <c r="DPZ27" s="85"/>
      <c r="DQA27" s="85"/>
      <c r="DQB27" s="85"/>
      <c r="DQC27" s="85"/>
      <c r="DQD27" s="85"/>
      <c r="DQE27" s="85"/>
      <c r="DQF27" s="85"/>
      <c r="DQG27" s="85"/>
      <c r="DQH27" s="85"/>
      <c r="DQI27" s="85"/>
      <c r="DQJ27" s="85"/>
      <c r="DQK27" s="85"/>
      <c r="DQL27" s="85"/>
      <c r="DQM27" s="85"/>
      <c r="DQN27" s="85"/>
      <c r="DQO27" s="85"/>
      <c r="DQP27" s="85"/>
      <c r="DQQ27" s="85"/>
      <c r="DQR27" s="85"/>
      <c r="DQS27" s="85"/>
      <c r="DQT27" s="85"/>
      <c r="DQU27" s="85"/>
      <c r="DQV27" s="85"/>
      <c r="DQW27" s="85"/>
      <c r="DQX27" s="85"/>
      <c r="DQY27" s="85"/>
      <c r="DQZ27" s="85"/>
      <c r="DRA27" s="85"/>
      <c r="DRB27" s="85"/>
      <c r="DRC27" s="85"/>
      <c r="DRD27" s="85"/>
      <c r="DRE27" s="85"/>
      <c r="DRF27" s="85"/>
      <c r="DRG27" s="85"/>
      <c r="DRH27" s="85"/>
      <c r="DRI27" s="85"/>
      <c r="DRJ27" s="85"/>
      <c r="DRK27" s="85"/>
      <c r="DRL27" s="85"/>
      <c r="DRM27" s="85"/>
      <c r="DRN27" s="85"/>
      <c r="DRO27" s="85"/>
      <c r="DRP27" s="85"/>
      <c r="DRQ27" s="85"/>
      <c r="DRR27" s="85"/>
      <c r="DRS27" s="85"/>
      <c r="DRT27" s="85"/>
      <c r="DRU27" s="85"/>
      <c r="DRV27" s="85"/>
      <c r="DRW27" s="85"/>
      <c r="DRX27" s="85"/>
      <c r="DRY27" s="85"/>
      <c r="DRZ27" s="85"/>
      <c r="DSA27" s="85"/>
      <c r="DSB27" s="85"/>
      <c r="DSC27" s="85"/>
      <c r="DSD27" s="85"/>
      <c r="DSE27" s="85"/>
      <c r="DSF27" s="85"/>
      <c r="DSG27" s="85"/>
      <c r="DSH27" s="85"/>
      <c r="DSI27" s="85"/>
      <c r="DSJ27" s="85"/>
      <c r="DSK27" s="85"/>
      <c r="DSL27" s="85"/>
      <c r="DSM27" s="85"/>
      <c r="DSN27" s="85"/>
      <c r="DSO27" s="85"/>
      <c r="DSP27" s="85"/>
      <c r="DSQ27" s="85"/>
      <c r="DSR27" s="85"/>
      <c r="DSS27" s="85"/>
      <c r="DST27" s="85"/>
      <c r="DSU27" s="85"/>
      <c r="DSV27" s="85"/>
      <c r="DSW27" s="85"/>
      <c r="DSX27" s="85"/>
      <c r="DSY27" s="85"/>
      <c r="DSZ27" s="85"/>
      <c r="DTA27" s="85"/>
      <c r="DTB27" s="85"/>
      <c r="DTC27" s="85"/>
      <c r="DTD27" s="85"/>
      <c r="DTE27" s="85"/>
      <c r="DTF27" s="85"/>
      <c r="DTG27" s="85"/>
      <c r="DTH27" s="85"/>
      <c r="DTI27" s="85"/>
      <c r="DTJ27" s="85"/>
      <c r="DTK27" s="85"/>
      <c r="DTL27" s="85"/>
      <c r="DTM27" s="85"/>
      <c r="DTN27" s="85"/>
      <c r="DTO27" s="85"/>
      <c r="DTP27" s="85"/>
      <c r="DTQ27" s="85"/>
      <c r="DTR27" s="85"/>
      <c r="DTS27" s="85"/>
      <c r="DTT27" s="85"/>
      <c r="DTU27" s="85"/>
      <c r="DTV27" s="85"/>
      <c r="DTW27" s="85"/>
      <c r="DTX27" s="85"/>
      <c r="DTY27" s="85"/>
      <c r="DTZ27" s="85"/>
      <c r="DUA27" s="85"/>
      <c r="DUB27" s="85"/>
      <c r="DUC27" s="85"/>
      <c r="DUD27" s="85"/>
      <c r="DUE27" s="85"/>
      <c r="DUF27" s="85"/>
      <c r="DUG27" s="85"/>
      <c r="DUH27" s="85"/>
      <c r="DUI27" s="85"/>
      <c r="DUJ27" s="85"/>
      <c r="DUK27" s="85"/>
      <c r="DUL27" s="85"/>
      <c r="DUM27" s="85"/>
      <c r="DUN27" s="85"/>
      <c r="DUO27" s="85"/>
      <c r="DUP27" s="85"/>
      <c r="DUQ27" s="85"/>
      <c r="DUR27" s="85"/>
      <c r="DUS27" s="85"/>
      <c r="DUT27" s="85"/>
      <c r="DUU27" s="85"/>
      <c r="DUV27" s="85"/>
      <c r="DUW27" s="85"/>
      <c r="DUX27" s="85"/>
      <c r="DUY27" s="85"/>
      <c r="DUZ27" s="85"/>
      <c r="DVA27" s="85"/>
      <c r="DVB27" s="85"/>
      <c r="DVC27" s="85"/>
      <c r="DVD27" s="85"/>
      <c r="DVE27" s="85"/>
      <c r="DVF27" s="85"/>
      <c r="DVG27" s="85"/>
      <c r="DVH27" s="85"/>
      <c r="DVI27" s="85"/>
      <c r="DVJ27" s="85"/>
      <c r="DVK27" s="85"/>
      <c r="DVL27" s="85"/>
      <c r="DVM27" s="85"/>
      <c r="DVN27" s="85"/>
      <c r="DVO27" s="85"/>
      <c r="DVP27" s="85"/>
      <c r="DVQ27" s="85"/>
      <c r="DVR27" s="85"/>
      <c r="DVS27" s="85"/>
      <c r="DVT27" s="85"/>
      <c r="DVU27" s="85"/>
      <c r="DVV27" s="85"/>
      <c r="DVW27" s="85"/>
      <c r="DVX27" s="85"/>
      <c r="DVY27" s="85"/>
      <c r="DVZ27" s="85"/>
      <c r="DWA27" s="85"/>
      <c r="DWB27" s="85"/>
      <c r="DWC27" s="85"/>
      <c r="DWD27" s="85"/>
      <c r="DWE27" s="85"/>
      <c r="DWF27" s="85"/>
      <c r="DWG27" s="85"/>
      <c r="DWH27" s="85"/>
      <c r="DWI27" s="85"/>
      <c r="DWJ27" s="85"/>
      <c r="DWK27" s="85"/>
      <c r="DWL27" s="85"/>
      <c r="DWM27" s="85"/>
      <c r="DWN27" s="85"/>
      <c r="DWO27" s="85"/>
      <c r="DWP27" s="85"/>
      <c r="DWQ27" s="85"/>
      <c r="DWR27" s="85"/>
      <c r="DWS27" s="85"/>
      <c r="DWT27" s="85"/>
      <c r="DWU27" s="85"/>
      <c r="DWV27" s="85"/>
      <c r="DWW27" s="85"/>
      <c r="DWX27" s="85"/>
      <c r="DWY27" s="85"/>
      <c r="DWZ27" s="85"/>
      <c r="DXA27" s="85"/>
      <c r="DXB27" s="85"/>
      <c r="DXC27" s="85"/>
      <c r="DXD27" s="85"/>
      <c r="DXE27" s="85"/>
      <c r="DXF27" s="85"/>
      <c r="DXG27" s="85"/>
      <c r="DXH27" s="85"/>
      <c r="DXI27" s="85"/>
      <c r="DXJ27" s="85"/>
      <c r="DXK27" s="85"/>
      <c r="DXL27" s="85"/>
      <c r="DXM27" s="85"/>
      <c r="DXN27" s="85"/>
      <c r="DXO27" s="85"/>
      <c r="DXP27" s="85"/>
      <c r="DXQ27" s="85"/>
      <c r="DXR27" s="85"/>
      <c r="DXS27" s="85"/>
      <c r="DXT27" s="85"/>
      <c r="DXU27" s="85"/>
      <c r="DXV27" s="85"/>
      <c r="DXW27" s="85"/>
      <c r="DXX27" s="85"/>
      <c r="DXY27" s="85"/>
      <c r="DXZ27" s="85"/>
      <c r="DYA27" s="85"/>
      <c r="DYB27" s="85"/>
      <c r="DYC27" s="85"/>
      <c r="DYD27" s="85"/>
      <c r="DYE27" s="85"/>
      <c r="DYF27" s="85"/>
      <c r="DYG27" s="85"/>
      <c r="DYH27" s="85"/>
      <c r="DYI27" s="85"/>
      <c r="DYJ27" s="85"/>
      <c r="DYK27" s="85"/>
      <c r="DYL27" s="85"/>
      <c r="DYM27" s="85"/>
      <c r="DYN27" s="85"/>
      <c r="DYO27" s="85"/>
      <c r="DYP27" s="85"/>
      <c r="DYQ27" s="85"/>
      <c r="DYR27" s="85"/>
      <c r="DYS27" s="85"/>
      <c r="DYT27" s="85"/>
      <c r="DYU27" s="85"/>
      <c r="DYV27" s="85"/>
      <c r="DYW27" s="85"/>
      <c r="DYX27" s="85"/>
      <c r="DYY27" s="85"/>
      <c r="DYZ27" s="85"/>
      <c r="DZA27" s="85"/>
      <c r="DZB27" s="85"/>
      <c r="DZC27" s="85"/>
      <c r="DZD27" s="85"/>
      <c r="DZE27" s="85"/>
      <c r="DZF27" s="85"/>
      <c r="DZG27" s="85"/>
      <c r="DZH27" s="85"/>
      <c r="DZI27" s="85"/>
      <c r="DZJ27" s="85"/>
      <c r="DZK27" s="85"/>
      <c r="DZL27" s="85"/>
      <c r="DZM27" s="85"/>
      <c r="DZN27" s="85"/>
      <c r="DZO27" s="85"/>
      <c r="DZP27" s="85"/>
      <c r="DZQ27" s="85"/>
      <c r="DZR27" s="85"/>
      <c r="DZS27" s="85"/>
      <c r="DZT27" s="85"/>
      <c r="DZU27" s="85"/>
      <c r="DZV27" s="85"/>
      <c r="DZW27" s="85"/>
      <c r="DZX27" s="85"/>
      <c r="DZY27" s="85"/>
      <c r="DZZ27" s="85"/>
      <c r="EAA27" s="85"/>
      <c r="EAB27" s="85"/>
      <c r="EAC27" s="85"/>
      <c r="EAD27" s="85"/>
      <c r="EAE27" s="85"/>
      <c r="EAF27" s="85"/>
      <c r="EAG27" s="85"/>
      <c r="EAH27" s="85"/>
      <c r="EAI27" s="85"/>
      <c r="EAJ27" s="85"/>
      <c r="EAK27" s="85"/>
      <c r="EAL27" s="85"/>
      <c r="EAM27" s="85"/>
      <c r="EAN27" s="85"/>
      <c r="EAO27" s="85"/>
      <c r="EAP27" s="85"/>
      <c r="EAQ27" s="85"/>
      <c r="EAR27" s="85"/>
      <c r="EAS27" s="85"/>
      <c r="EAT27" s="85"/>
      <c r="EAU27" s="85"/>
      <c r="EAV27" s="85"/>
      <c r="EAW27" s="85"/>
      <c r="EAX27" s="85"/>
      <c r="EAY27" s="85"/>
      <c r="EAZ27" s="85"/>
      <c r="EBA27" s="85"/>
      <c r="EBB27" s="85"/>
      <c r="EBC27" s="85"/>
      <c r="EBD27" s="85"/>
      <c r="EBE27" s="85"/>
      <c r="EBF27" s="85"/>
      <c r="EBG27" s="85"/>
      <c r="EBH27" s="85"/>
      <c r="EBI27" s="85"/>
      <c r="EBJ27" s="85"/>
      <c r="EBK27" s="85"/>
      <c r="EBL27" s="85"/>
      <c r="EBM27" s="85"/>
      <c r="EBN27" s="85"/>
      <c r="EBO27" s="85"/>
      <c r="EBP27" s="85"/>
      <c r="EBQ27" s="85"/>
      <c r="EBR27" s="85"/>
      <c r="EBS27" s="85"/>
      <c r="EBT27" s="85"/>
      <c r="EBU27" s="85"/>
      <c r="EBV27" s="85"/>
      <c r="EBW27" s="85"/>
      <c r="EBX27" s="85"/>
      <c r="EBY27" s="85"/>
      <c r="EBZ27" s="85"/>
      <c r="ECA27" s="85"/>
      <c r="ECB27" s="85"/>
      <c r="ECC27" s="85"/>
      <c r="ECD27" s="85"/>
      <c r="ECE27" s="85"/>
      <c r="ECF27" s="85"/>
      <c r="ECG27" s="85"/>
      <c r="ECH27" s="85"/>
      <c r="ECI27" s="85"/>
      <c r="ECJ27" s="85"/>
      <c r="ECK27" s="85"/>
      <c r="ECL27" s="85"/>
      <c r="ECM27" s="85"/>
      <c r="ECN27" s="85"/>
      <c r="ECO27" s="85"/>
      <c r="ECP27" s="85"/>
      <c r="ECQ27" s="85"/>
      <c r="ECR27" s="85"/>
      <c r="ECS27" s="85"/>
      <c r="ECT27" s="85"/>
      <c r="ECU27" s="85"/>
      <c r="ECV27" s="85"/>
      <c r="ECW27" s="85"/>
      <c r="ECX27" s="85"/>
      <c r="ECY27" s="85"/>
      <c r="ECZ27" s="85"/>
      <c r="EDA27" s="85"/>
      <c r="EDB27" s="85"/>
      <c r="EDC27" s="85"/>
      <c r="EDD27" s="85"/>
      <c r="EDE27" s="85"/>
      <c r="EDF27" s="85"/>
      <c r="EDG27" s="85"/>
      <c r="EDH27" s="85"/>
      <c r="EDI27" s="85"/>
      <c r="EDJ27" s="85"/>
      <c r="EDK27" s="85"/>
      <c r="EDL27" s="85"/>
      <c r="EDM27" s="85"/>
      <c r="EDN27" s="85"/>
      <c r="EDO27" s="85"/>
      <c r="EDP27" s="85"/>
      <c r="EDQ27" s="85"/>
      <c r="EDR27" s="85"/>
      <c r="EDS27" s="85"/>
      <c r="EDT27" s="85"/>
      <c r="EDU27" s="85"/>
      <c r="EDV27" s="85"/>
      <c r="EDW27" s="85"/>
      <c r="EDX27" s="85"/>
      <c r="EDY27" s="85"/>
      <c r="EDZ27" s="85"/>
      <c r="EEA27" s="85"/>
      <c r="EEB27" s="85"/>
      <c r="EEC27" s="85"/>
      <c r="EED27" s="85"/>
      <c r="EEE27" s="85"/>
      <c r="EEF27" s="85"/>
      <c r="EEG27" s="85"/>
      <c r="EEH27" s="85"/>
      <c r="EEI27" s="85"/>
      <c r="EEJ27" s="85"/>
      <c r="EEK27" s="85"/>
      <c r="EEL27" s="85"/>
      <c r="EEM27" s="85"/>
      <c r="EEN27" s="85"/>
      <c r="EEO27" s="85"/>
      <c r="EEP27" s="85"/>
      <c r="EEQ27" s="85"/>
      <c r="EER27" s="85"/>
      <c r="EES27" s="85"/>
      <c r="EET27" s="85"/>
      <c r="EEU27" s="85"/>
      <c r="EEV27" s="85"/>
      <c r="EEW27" s="85"/>
      <c r="EEX27" s="85"/>
      <c r="EEY27" s="85"/>
      <c r="EEZ27" s="85"/>
      <c r="EFA27" s="85"/>
      <c r="EFB27" s="85"/>
      <c r="EFC27" s="85"/>
      <c r="EFD27" s="85"/>
      <c r="EFE27" s="85"/>
      <c r="EFF27" s="85"/>
      <c r="EFG27" s="85"/>
      <c r="EFH27" s="85"/>
      <c r="EFI27" s="85"/>
      <c r="EFJ27" s="85"/>
      <c r="EFK27" s="85"/>
      <c r="EFL27" s="85"/>
      <c r="EFM27" s="85"/>
      <c r="EFN27" s="85"/>
      <c r="EFO27" s="85"/>
      <c r="EFP27" s="85"/>
      <c r="EFQ27" s="85"/>
      <c r="EFR27" s="85"/>
      <c r="EFS27" s="85"/>
      <c r="EFT27" s="85"/>
      <c r="EFU27" s="85"/>
      <c r="EFV27" s="85"/>
      <c r="EFW27" s="85"/>
      <c r="EFX27" s="85"/>
      <c r="EFY27" s="85"/>
      <c r="EFZ27" s="85"/>
      <c r="EGA27" s="85"/>
      <c r="EGB27" s="85"/>
      <c r="EGC27" s="85"/>
      <c r="EGD27" s="85"/>
      <c r="EGE27" s="85"/>
      <c r="EGF27" s="85"/>
      <c r="EGG27" s="85"/>
      <c r="EGH27" s="85"/>
      <c r="EGI27" s="85"/>
      <c r="EGJ27" s="85"/>
      <c r="EGK27" s="85"/>
      <c r="EGL27" s="85"/>
      <c r="EGM27" s="85"/>
      <c r="EGN27" s="85"/>
      <c r="EGO27" s="85"/>
      <c r="EGP27" s="85"/>
      <c r="EGQ27" s="85"/>
      <c r="EGR27" s="85"/>
      <c r="EGS27" s="85"/>
      <c r="EGT27" s="85"/>
      <c r="EGU27" s="85"/>
      <c r="EGV27" s="85"/>
      <c r="EGW27" s="85"/>
      <c r="EGX27" s="85"/>
      <c r="EGY27" s="85"/>
      <c r="EGZ27" s="85"/>
      <c r="EHA27" s="85"/>
      <c r="EHB27" s="85"/>
      <c r="EHC27" s="85"/>
      <c r="EHD27" s="85"/>
      <c r="EHE27" s="85"/>
      <c r="EHF27" s="85"/>
      <c r="EHG27" s="85"/>
      <c r="EHH27" s="85"/>
      <c r="EHI27" s="85"/>
      <c r="EHJ27" s="85"/>
      <c r="EHK27" s="85"/>
      <c r="EHL27" s="85"/>
      <c r="EHM27" s="85"/>
      <c r="EHN27" s="85"/>
      <c r="EHO27" s="85"/>
      <c r="EHP27" s="85"/>
      <c r="EHQ27" s="85"/>
      <c r="EHR27" s="85"/>
      <c r="EHS27" s="85"/>
      <c r="EHT27" s="85"/>
      <c r="EHU27" s="85"/>
      <c r="EHV27" s="85"/>
      <c r="EHW27" s="85"/>
      <c r="EHX27" s="85"/>
      <c r="EHY27" s="85"/>
      <c r="EHZ27" s="85"/>
      <c r="EIA27" s="85"/>
      <c r="EIB27" s="85"/>
      <c r="EIC27" s="85"/>
      <c r="EID27" s="85"/>
      <c r="EIE27" s="85"/>
      <c r="EIF27" s="85"/>
      <c r="EIG27" s="85"/>
      <c r="EIH27" s="85"/>
      <c r="EII27" s="85"/>
      <c r="EIJ27" s="85"/>
      <c r="EIK27" s="85"/>
      <c r="EIL27" s="85"/>
      <c r="EIM27" s="85"/>
      <c r="EIN27" s="85"/>
      <c r="EIO27" s="85"/>
      <c r="EIP27" s="85"/>
      <c r="EIQ27" s="85"/>
      <c r="EIR27" s="85"/>
      <c r="EIS27" s="85"/>
      <c r="EIT27" s="85"/>
      <c r="EIU27" s="85"/>
      <c r="EIV27" s="85"/>
      <c r="EIW27" s="85"/>
      <c r="EIX27" s="85"/>
      <c r="EIY27" s="85"/>
      <c r="EIZ27" s="85"/>
      <c r="EJA27" s="85"/>
      <c r="EJB27" s="85"/>
      <c r="EJC27" s="85"/>
      <c r="EJD27" s="85"/>
      <c r="EJE27" s="85"/>
      <c r="EJF27" s="85"/>
      <c r="EJG27" s="85"/>
      <c r="EJH27" s="85"/>
      <c r="EJI27" s="85"/>
      <c r="EJJ27" s="85"/>
      <c r="EJK27" s="85"/>
      <c r="EJL27" s="85"/>
      <c r="EJM27" s="85"/>
      <c r="EJN27" s="85"/>
      <c r="EJO27" s="85"/>
      <c r="EJP27" s="85"/>
      <c r="EJQ27" s="85"/>
      <c r="EJR27" s="85"/>
      <c r="EJS27" s="85"/>
      <c r="EJT27" s="85"/>
      <c r="EJU27" s="85"/>
      <c r="EJV27" s="85"/>
      <c r="EJW27" s="85"/>
      <c r="EJX27" s="85"/>
      <c r="EJY27" s="85"/>
      <c r="EJZ27" s="85"/>
      <c r="EKA27" s="85"/>
      <c r="EKB27" s="85"/>
      <c r="EKC27" s="85"/>
      <c r="EKD27" s="85"/>
      <c r="EKE27" s="85"/>
      <c r="EKF27" s="85"/>
      <c r="EKG27" s="85"/>
      <c r="EKH27" s="85"/>
      <c r="EKI27" s="85"/>
      <c r="EKJ27" s="85"/>
      <c r="EKK27" s="85"/>
      <c r="EKL27" s="85"/>
      <c r="EKM27" s="85"/>
      <c r="EKN27" s="85"/>
      <c r="EKO27" s="85"/>
      <c r="EKP27" s="85"/>
      <c r="EKQ27" s="85"/>
      <c r="EKR27" s="85"/>
      <c r="EKS27" s="85"/>
      <c r="EKT27" s="85"/>
      <c r="EKU27" s="85"/>
      <c r="EKV27" s="85"/>
      <c r="EKW27" s="85"/>
      <c r="EKX27" s="85"/>
      <c r="EKY27" s="85"/>
      <c r="EKZ27" s="85"/>
      <c r="ELA27" s="85"/>
      <c r="ELB27" s="85"/>
      <c r="ELC27" s="85"/>
      <c r="ELD27" s="85"/>
      <c r="ELE27" s="85"/>
      <c r="ELF27" s="85"/>
      <c r="ELG27" s="85"/>
      <c r="ELH27" s="85"/>
      <c r="ELI27" s="85"/>
      <c r="ELJ27" s="85"/>
      <c r="ELK27" s="85"/>
      <c r="ELL27" s="85"/>
      <c r="ELM27" s="85"/>
      <c r="ELN27" s="85"/>
      <c r="ELO27" s="85"/>
      <c r="ELP27" s="85"/>
      <c r="ELQ27" s="85"/>
      <c r="ELR27" s="85"/>
      <c r="ELS27" s="85"/>
      <c r="ELT27" s="85"/>
      <c r="ELU27" s="85"/>
      <c r="ELV27" s="85"/>
      <c r="ELW27" s="85"/>
      <c r="ELX27" s="85"/>
      <c r="ELY27" s="85"/>
      <c r="ELZ27" s="85"/>
      <c r="EMA27" s="85"/>
      <c r="EMB27" s="85"/>
      <c r="EMC27" s="85"/>
      <c r="EMD27" s="85"/>
      <c r="EME27" s="85"/>
      <c r="EMF27" s="85"/>
      <c r="EMG27" s="85"/>
      <c r="EMH27" s="85"/>
      <c r="EMI27" s="85"/>
      <c r="EMJ27" s="85"/>
      <c r="EMK27" s="85"/>
      <c r="EML27" s="85"/>
      <c r="EMM27" s="85"/>
      <c r="EMN27" s="85"/>
      <c r="EMO27" s="85"/>
      <c r="EMP27" s="85"/>
      <c r="EMQ27" s="85"/>
      <c r="EMR27" s="85"/>
      <c r="EMS27" s="85"/>
      <c r="EMT27" s="85"/>
      <c r="EMU27" s="85"/>
      <c r="EMV27" s="85"/>
      <c r="EMW27" s="85"/>
      <c r="EMX27" s="85"/>
      <c r="EMY27" s="85"/>
      <c r="EMZ27" s="85"/>
      <c r="ENA27" s="85"/>
      <c r="ENB27" s="85"/>
      <c r="ENC27" s="85"/>
      <c r="END27" s="85"/>
      <c r="ENE27" s="85"/>
      <c r="ENF27" s="85"/>
      <c r="ENG27" s="85"/>
      <c r="ENH27" s="85"/>
      <c r="ENI27" s="85"/>
      <c r="ENJ27" s="85"/>
      <c r="ENK27" s="85"/>
      <c r="ENL27" s="85"/>
      <c r="ENM27" s="85"/>
      <c r="ENN27" s="85"/>
      <c r="ENO27" s="85"/>
      <c r="ENP27" s="85"/>
      <c r="ENQ27" s="85"/>
      <c r="ENR27" s="85"/>
      <c r="ENS27" s="85"/>
      <c r="ENT27" s="85"/>
      <c r="ENU27" s="85"/>
      <c r="ENV27" s="85"/>
      <c r="ENW27" s="85"/>
      <c r="ENX27" s="85"/>
      <c r="ENY27" s="85"/>
      <c r="ENZ27" s="85"/>
      <c r="EOA27" s="85"/>
      <c r="EOB27" s="85"/>
      <c r="EOC27" s="85"/>
      <c r="EOD27" s="85"/>
      <c r="EOE27" s="85"/>
      <c r="EOF27" s="85"/>
      <c r="EOG27" s="85"/>
      <c r="EOH27" s="85"/>
      <c r="EOI27" s="85"/>
      <c r="EOJ27" s="85"/>
      <c r="EOK27" s="85"/>
      <c r="EOL27" s="85"/>
      <c r="EOM27" s="85"/>
      <c r="EON27" s="85"/>
      <c r="EOO27" s="85"/>
      <c r="EOP27" s="85"/>
      <c r="EOQ27" s="85"/>
      <c r="EOR27" s="85"/>
      <c r="EOS27" s="85"/>
      <c r="EOT27" s="85"/>
      <c r="EOU27" s="85"/>
      <c r="EOV27" s="85"/>
      <c r="EOW27" s="85"/>
      <c r="EOX27" s="85"/>
      <c r="EOY27" s="85"/>
      <c r="EOZ27" s="85"/>
      <c r="EPA27" s="85"/>
      <c r="EPB27" s="85"/>
      <c r="EPC27" s="85"/>
      <c r="EPD27" s="85"/>
      <c r="EPE27" s="85"/>
      <c r="EPF27" s="85"/>
      <c r="EPG27" s="85"/>
      <c r="EPH27" s="85"/>
      <c r="EPI27" s="85"/>
      <c r="EPJ27" s="85"/>
      <c r="EPK27" s="85"/>
      <c r="EPL27" s="85"/>
      <c r="EPM27" s="85"/>
      <c r="EPN27" s="85"/>
      <c r="EPO27" s="85"/>
      <c r="EPP27" s="85"/>
      <c r="EPQ27" s="85"/>
      <c r="EPR27" s="85"/>
      <c r="EPS27" s="85"/>
      <c r="EPT27" s="85"/>
      <c r="EPU27" s="85"/>
      <c r="EPV27" s="85"/>
      <c r="EPW27" s="85"/>
      <c r="EPX27" s="85"/>
      <c r="EPY27" s="85"/>
      <c r="EPZ27" s="85"/>
      <c r="EQA27" s="85"/>
      <c r="EQB27" s="85"/>
      <c r="EQC27" s="85"/>
      <c r="EQD27" s="85"/>
      <c r="EQE27" s="85"/>
      <c r="EQF27" s="85"/>
      <c r="EQG27" s="85"/>
      <c r="EQH27" s="85"/>
      <c r="EQI27" s="85"/>
      <c r="EQJ27" s="85"/>
      <c r="EQK27" s="85"/>
      <c r="EQL27" s="85"/>
      <c r="EQM27" s="85"/>
      <c r="EQN27" s="85"/>
      <c r="EQO27" s="85"/>
      <c r="EQP27" s="85"/>
      <c r="EQQ27" s="85"/>
      <c r="EQR27" s="85"/>
      <c r="EQS27" s="85"/>
      <c r="EQT27" s="85"/>
      <c r="EQU27" s="85"/>
      <c r="EQV27" s="85"/>
      <c r="EQW27" s="85"/>
      <c r="EQX27" s="85"/>
      <c r="EQY27" s="85"/>
      <c r="EQZ27" s="85"/>
      <c r="ERA27" s="85"/>
      <c r="ERB27" s="85"/>
      <c r="ERC27" s="85"/>
      <c r="ERD27" s="85"/>
      <c r="ERE27" s="85"/>
      <c r="ERF27" s="85"/>
      <c r="ERG27" s="85"/>
      <c r="ERH27" s="85"/>
      <c r="ERI27" s="85"/>
      <c r="ERJ27" s="85"/>
      <c r="ERK27" s="85"/>
      <c r="ERL27" s="85"/>
      <c r="ERM27" s="85"/>
      <c r="ERN27" s="85"/>
      <c r="ERO27" s="85"/>
      <c r="ERP27" s="85"/>
      <c r="ERQ27" s="85"/>
      <c r="ERR27" s="85"/>
      <c r="ERS27" s="85"/>
      <c r="ERT27" s="85"/>
      <c r="ERU27" s="85"/>
      <c r="ERV27" s="85"/>
      <c r="ERW27" s="85"/>
      <c r="ERX27" s="85"/>
      <c r="ERY27" s="85"/>
      <c r="ERZ27" s="85"/>
      <c r="ESA27" s="85"/>
      <c r="ESB27" s="85"/>
      <c r="ESC27" s="85"/>
      <c r="ESD27" s="85"/>
      <c r="ESE27" s="85"/>
      <c r="ESF27" s="85"/>
      <c r="ESG27" s="85"/>
      <c r="ESH27" s="85"/>
      <c r="ESI27" s="85"/>
      <c r="ESJ27" s="85"/>
      <c r="ESK27" s="85"/>
      <c r="ESL27" s="85"/>
      <c r="ESM27" s="85"/>
      <c r="ESN27" s="85"/>
      <c r="ESO27" s="85"/>
      <c r="ESP27" s="85"/>
      <c r="ESQ27" s="85"/>
      <c r="ESR27" s="85"/>
      <c r="ESS27" s="85"/>
      <c r="EST27" s="85"/>
      <c r="ESU27" s="85"/>
      <c r="ESV27" s="85"/>
      <c r="ESW27" s="85"/>
      <c r="ESX27" s="85"/>
      <c r="ESY27" s="85"/>
      <c r="ESZ27" s="85"/>
      <c r="ETA27" s="85"/>
      <c r="ETB27" s="85"/>
      <c r="ETC27" s="85"/>
      <c r="ETD27" s="85"/>
      <c r="ETE27" s="85"/>
      <c r="ETF27" s="85"/>
      <c r="ETG27" s="85"/>
      <c r="ETH27" s="85"/>
      <c r="ETI27" s="85"/>
      <c r="ETJ27" s="85"/>
      <c r="ETK27" s="85"/>
      <c r="ETL27" s="85"/>
      <c r="ETM27" s="85"/>
      <c r="ETN27" s="85"/>
      <c r="ETO27" s="85"/>
      <c r="ETP27" s="85"/>
      <c r="ETQ27" s="85"/>
      <c r="ETR27" s="85"/>
      <c r="ETS27" s="85"/>
      <c r="ETT27" s="85"/>
      <c r="ETU27" s="85"/>
      <c r="ETV27" s="85"/>
      <c r="ETW27" s="85"/>
      <c r="ETX27" s="85"/>
      <c r="ETY27" s="85"/>
      <c r="ETZ27" s="85"/>
      <c r="EUA27" s="85"/>
      <c r="EUB27" s="85"/>
      <c r="EUC27" s="85"/>
      <c r="EUD27" s="85"/>
      <c r="EUE27" s="85"/>
      <c r="EUF27" s="85"/>
      <c r="EUG27" s="85"/>
      <c r="EUH27" s="85"/>
      <c r="EUI27" s="85"/>
      <c r="EUJ27" s="85"/>
      <c r="EUK27" s="85"/>
      <c r="EUL27" s="85"/>
      <c r="EUM27" s="85"/>
      <c r="EUN27" s="85"/>
      <c r="EUO27" s="85"/>
      <c r="EUP27" s="85"/>
      <c r="EUQ27" s="85"/>
      <c r="EUR27" s="85"/>
      <c r="EUS27" s="85"/>
      <c r="EUT27" s="85"/>
      <c r="EUU27" s="85"/>
      <c r="EUV27" s="85"/>
      <c r="EUW27" s="85"/>
      <c r="EUX27" s="85"/>
      <c r="EUY27" s="85"/>
      <c r="EUZ27" s="85"/>
      <c r="EVA27" s="85"/>
      <c r="EVB27" s="85"/>
      <c r="EVC27" s="85"/>
      <c r="EVD27" s="85"/>
      <c r="EVE27" s="85"/>
      <c r="EVF27" s="85"/>
      <c r="EVG27" s="85"/>
      <c r="EVH27" s="85"/>
      <c r="EVI27" s="85"/>
      <c r="EVJ27" s="85"/>
      <c r="EVK27" s="85"/>
      <c r="EVL27" s="85"/>
      <c r="EVM27" s="85"/>
      <c r="EVN27" s="85"/>
      <c r="EVO27" s="85"/>
      <c r="EVP27" s="85"/>
      <c r="EVQ27" s="85"/>
      <c r="EVR27" s="85"/>
      <c r="EVS27" s="85"/>
      <c r="EVT27" s="85"/>
      <c r="EVU27" s="85"/>
      <c r="EVV27" s="85"/>
      <c r="EVW27" s="85"/>
      <c r="EVX27" s="85"/>
      <c r="EVY27" s="85"/>
      <c r="EVZ27" s="85"/>
      <c r="EWA27" s="85"/>
      <c r="EWB27" s="85"/>
      <c r="EWC27" s="85"/>
      <c r="EWD27" s="85"/>
      <c r="EWE27" s="85"/>
      <c r="EWF27" s="85"/>
      <c r="EWG27" s="85"/>
      <c r="EWH27" s="85"/>
      <c r="EWI27" s="85"/>
      <c r="EWJ27" s="85"/>
      <c r="EWK27" s="85"/>
      <c r="EWL27" s="85"/>
      <c r="EWM27" s="85"/>
      <c r="EWN27" s="85"/>
      <c r="EWO27" s="85"/>
      <c r="EWP27" s="85"/>
      <c r="EWQ27" s="85"/>
      <c r="EWR27" s="85"/>
      <c r="EWS27" s="85"/>
      <c r="EWT27" s="85"/>
      <c r="EWU27" s="85"/>
      <c r="EWV27" s="85"/>
      <c r="EWW27" s="85"/>
      <c r="EWX27" s="85"/>
      <c r="EWY27" s="85"/>
      <c r="EWZ27" s="85"/>
      <c r="EXA27" s="85"/>
      <c r="EXB27" s="85"/>
      <c r="EXC27" s="85"/>
      <c r="EXD27" s="85"/>
      <c r="EXE27" s="85"/>
      <c r="EXF27" s="85"/>
      <c r="EXG27" s="85"/>
      <c r="EXH27" s="85"/>
      <c r="EXI27" s="85"/>
      <c r="EXJ27" s="85"/>
      <c r="EXK27" s="85"/>
      <c r="EXL27" s="85"/>
      <c r="EXM27" s="85"/>
      <c r="EXN27" s="85"/>
      <c r="EXO27" s="85"/>
      <c r="EXP27" s="85"/>
      <c r="EXQ27" s="85"/>
      <c r="EXR27" s="85"/>
      <c r="EXS27" s="85"/>
      <c r="EXT27" s="85"/>
      <c r="EXU27" s="85"/>
      <c r="EXV27" s="85"/>
      <c r="EXW27" s="85"/>
      <c r="EXX27" s="85"/>
      <c r="EXY27" s="85"/>
      <c r="EXZ27" s="85"/>
      <c r="EYA27" s="85"/>
      <c r="EYB27" s="85"/>
      <c r="EYC27" s="85"/>
      <c r="EYD27" s="85"/>
      <c r="EYE27" s="85"/>
      <c r="EYF27" s="85"/>
      <c r="EYG27" s="85"/>
      <c r="EYH27" s="85"/>
      <c r="EYI27" s="85"/>
      <c r="EYJ27" s="85"/>
      <c r="EYK27" s="85"/>
      <c r="EYL27" s="85"/>
      <c r="EYM27" s="85"/>
      <c r="EYN27" s="85"/>
      <c r="EYO27" s="85"/>
      <c r="EYP27" s="85"/>
      <c r="EYQ27" s="85"/>
      <c r="EYR27" s="85"/>
      <c r="EYS27" s="85"/>
      <c r="EYT27" s="85"/>
      <c r="EYU27" s="85"/>
      <c r="EYV27" s="85"/>
      <c r="EYW27" s="85"/>
      <c r="EYX27" s="85"/>
      <c r="EYY27" s="85"/>
      <c r="EYZ27" s="85"/>
      <c r="EZA27" s="85"/>
      <c r="EZB27" s="85"/>
      <c r="EZC27" s="85"/>
      <c r="EZD27" s="85"/>
      <c r="EZE27" s="85"/>
      <c r="EZF27" s="85"/>
      <c r="EZG27" s="85"/>
      <c r="EZH27" s="85"/>
      <c r="EZI27" s="85"/>
      <c r="EZJ27" s="85"/>
      <c r="EZK27" s="85"/>
      <c r="EZL27" s="85"/>
      <c r="EZM27" s="85"/>
      <c r="EZN27" s="85"/>
      <c r="EZO27" s="85"/>
      <c r="EZP27" s="85"/>
      <c r="EZQ27" s="85"/>
      <c r="EZR27" s="85"/>
      <c r="EZS27" s="85"/>
      <c r="EZT27" s="85"/>
      <c r="EZU27" s="85"/>
      <c r="EZV27" s="85"/>
      <c r="EZW27" s="85"/>
      <c r="EZX27" s="85"/>
      <c r="EZY27" s="85"/>
      <c r="EZZ27" s="85"/>
      <c r="FAA27" s="85"/>
      <c r="FAB27" s="85"/>
      <c r="FAC27" s="85"/>
      <c r="FAD27" s="85"/>
      <c r="FAE27" s="85"/>
      <c r="FAF27" s="85"/>
      <c r="FAG27" s="85"/>
      <c r="FAH27" s="85"/>
      <c r="FAI27" s="85"/>
      <c r="FAJ27" s="85"/>
      <c r="FAK27" s="85"/>
      <c r="FAL27" s="85"/>
      <c r="FAM27" s="85"/>
      <c r="FAN27" s="85"/>
      <c r="FAO27" s="85"/>
      <c r="FAP27" s="85"/>
      <c r="FAQ27" s="85"/>
      <c r="FAR27" s="85"/>
      <c r="FAS27" s="85"/>
      <c r="FAT27" s="85"/>
      <c r="FAU27" s="85"/>
      <c r="FAV27" s="85"/>
      <c r="FAW27" s="85"/>
      <c r="FAX27" s="85"/>
      <c r="FAY27" s="85"/>
      <c r="FAZ27" s="85"/>
      <c r="FBA27" s="85"/>
      <c r="FBB27" s="85"/>
      <c r="FBC27" s="85"/>
      <c r="FBD27" s="85"/>
      <c r="FBE27" s="85"/>
      <c r="FBF27" s="85"/>
      <c r="FBG27" s="85"/>
      <c r="FBH27" s="85"/>
      <c r="FBI27" s="85"/>
      <c r="FBJ27" s="85"/>
      <c r="FBK27" s="85"/>
      <c r="FBL27" s="85"/>
      <c r="FBM27" s="85"/>
      <c r="FBN27" s="85"/>
      <c r="FBO27" s="85"/>
      <c r="FBP27" s="85"/>
      <c r="FBQ27" s="85"/>
      <c r="FBR27" s="85"/>
      <c r="FBS27" s="85"/>
      <c r="FBT27" s="85"/>
      <c r="FBU27" s="85"/>
      <c r="FBV27" s="85"/>
      <c r="FBW27" s="85"/>
      <c r="FBX27" s="85"/>
      <c r="FBY27" s="85"/>
      <c r="FBZ27" s="85"/>
      <c r="FCA27" s="85"/>
      <c r="FCB27" s="85"/>
      <c r="FCC27" s="85"/>
      <c r="FCD27" s="85"/>
      <c r="FCE27" s="85"/>
      <c r="FCF27" s="85"/>
      <c r="FCG27" s="85"/>
      <c r="FCH27" s="85"/>
      <c r="FCI27" s="85"/>
      <c r="FCJ27" s="85"/>
      <c r="FCK27" s="85"/>
      <c r="FCL27" s="85"/>
      <c r="FCM27" s="85"/>
      <c r="FCN27" s="85"/>
      <c r="FCO27" s="85"/>
      <c r="FCP27" s="85"/>
      <c r="FCQ27" s="85"/>
      <c r="FCR27" s="85"/>
      <c r="FCS27" s="85"/>
      <c r="FCT27" s="85"/>
      <c r="FCU27" s="85"/>
      <c r="FCV27" s="85"/>
      <c r="FCW27" s="85"/>
      <c r="FCX27" s="85"/>
      <c r="FCY27" s="85"/>
      <c r="FCZ27" s="85"/>
      <c r="FDA27" s="85"/>
      <c r="FDB27" s="85"/>
      <c r="FDC27" s="85"/>
      <c r="FDD27" s="85"/>
      <c r="FDE27" s="85"/>
      <c r="FDF27" s="85"/>
      <c r="FDG27" s="85"/>
      <c r="FDH27" s="85"/>
      <c r="FDI27" s="85"/>
      <c r="FDJ27" s="85"/>
      <c r="FDK27" s="85"/>
      <c r="FDL27" s="85"/>
      <c r="FDM27" s="85"/>
      <c r="FDN27" s="85"/>
      <c r="FDO27" s="85"/>
      <c r="FDP27" s="85"/>
      <c r="FDQ27" s="85"/>
      <c r="FDR27" s="85"/>
      <c r="FDS27" s="85"/>
      <c r="FDT27" s="85"/>
      <c r="FDU27" s="85"/>
      <c r="FDV27" s="85"/>
      <c r="FDW27" s="85"/>
      <c r="FDX27" s="85"/>
      <c r="FDY27" s="85"/>
      <c r="FDZ27" s="85"/>
      <c r="FEA27" s="85"/>
      <c r="FEB27" s="85"/>
      <c r="FEC27" s="85"/>
      <c r="FED27" s="85"/>
      <c r="FEE27" s="85"/>
      <c r="FEF27" s="85"/>
      <c r="FEG27" s="85"/>
      <c r="FEH27" s="85"/>
      <c r="FEI27" s="85"/>
      <c r="FEJ27" s="85"/>
      <c r="FEK27" s="85"/>
      <c r="FEL27" s="85"/>
      <c r="FEM27" s="85"/>
      <c r="FEN27" s="85"/>
      <c r="FEO27" s="85"/>
      <c r="FEP27" s="85"/>
      <c r="FEQ27" s="85"/>
      <c r="FER27" s="85"/>
      <c r="FES27" s="85"/>
      <c r="FET27" s="85"/>
      <c r="FEU27" s="85"/>
      <c r="FEV27" s="85"/>
      <c r="FEW27" s="85"/>
      <c r="FEX27" s="85"/>
      <c r="FEY27" s="85"/>
      <c r="FEZ27" s="85"/>
      <c r="FFA27" s="85"/>
      <c r="FFB27" s="85"/>
      <c r="FFC27" s="85"/>
      <c r="FFD27" s="85"/>
      <c r="FFE27" s="85"/>
      <c r="FFF27" s="85"/>
      <c r="FFG27" s="85"/>
      <c r="FFH27" s="85"/>
      <c r="FFI27" s="85"/>
      <c r="FFJ27" s="85"/>
      <c r="FFK27" s="85"/>
      <c r="FFL27" s="85"/>
      <c r="FFM27" s="85"/>
      <c r="FFN27" s="85"/>
      <c r="FFO27" s="85"/>
      <c r="FFP27" s="85"/>
      <c r="FFQ27" s="85"/>
      <c r="FFR27" s="85"/>
      <c r="FFS27" s="85"/>
      <c r="FFT27" s="85"/>
      <c r="FFU27" s="85"/>
      <c r="FFV27" s="85"/>
      <c r="FFW27" s="85"/>
      <c r="FFX27" s="85"/>
      <c r="FFY27" s="85"/>
      <c r="FFZ27" s="85"/>
      <c r="FGA27" s="85"/>
      <c r="FGB27" s="85"/>
      <c r="FGC27" s="85"/>
      <c r="FGD27" s="85"/>
      <c r="FGE27" s="85"/>
      <c r="FGF27" s="85"/>
      <c r="FGG27" s="85"/>
      <c r="FGH27" s="85"/>
      <c r="FGI27" s="85"/>
      <c r="FGJ27" s="85"/>
      <c r="FGK27" s="85"/>
      <c r="FGL27" s="85"/>
      <c r="FGM27" s="85"/>
      <c r="FGN27" s="85"/>
      <c r="FGO27" s="85"/>
      <c r="FGP27" s="85"/>
      <c r="FGQ27" s="85"/>
      <c r="FGR27" s="85"/>
      <c r="FGS27" s="85"/>
      <c r="FGT27" s="85"/>
      <c r="FGU27" s="85"/>
      <c r="FGV27" s="85"/>
      <c r="FGW27" s="85"/>
      <c r="FGX27" s="85"/>
      <c r="FGY27" s="85"/>
      <c r="FGZ27" s="85"/>
      <c r="FHA27" s="85"/>
      <c r="FHB27" s="85"/>
      <c r="FHC27" s="85"/>
      <c r="FHD27" s="85"/>
      <c r="FHE27" s="85"/>
      <c r="FHF27" s="85"/>
      <c r="FHG27" s="85"/>
      <c r="FHH27" s="85"/>
      <c r="FHI27" s="85"/>
      <c r="FHJ27" s="85"/>
      <c r="FHK27" s="85"/>
      <c r="FHL27" s="85"/>
      <c r="FHM27" s="85"/>
      <c r="FHN27" s="85"/>
      <c r="FHO27" s="85"/>
      <c r="FHP27" s="85"/>
      <c r="FHQ27" s="85"/>
      <c r="FHR27" s="85"/>
      <c r="FHS27" s="85"/>
      <c r="FHT27" s="85"/>
      <c r="FHU27" s="85"/>
      <c r="FHV27" s="85"/>
      <c r="FHW27" s="85"/>
      <c r="FHX27" s="85"/>
      <c r="FHY27" s="85"/>
      <c r="FHZ27" s="85"/>
      <c r="FIA27" s="85"/>
      <c r="FIB27" s="85"/>
      <c r="FIC27" s="85"/>
      <c r="FID27" s="85"/>
      <c r="FIE27" s="85"/>
      <c r="FIF27" s="85"/>
      <c r="FIG27" s="85"/>
      <c r="FIH27" s="85"/>
      <c r="FII27" s="85"/>
      <c r="FIJ27" s="85"/>
      <c r="FIK27" s="85"/>
      <c r="FIL27" s="85"/>
      <c r="FIM27" s="85"/>
      <c r="FIN27" s="85"/>
      <c r="FIO27" s="85"/>
      <c r="FIP27" s="85"/>
      <c r="FIQ27" s="85"/>
      <c r="FIR27" s="85"/>
      <c r="FIS27" s="85"/>
      <c r="FIT27" s="85"/>
      <c r="FIU27" s="85"/>
      <c r="FIV27" s="85"/>
      <c r="FIW27" s="85"/>
      <c r="FIX27" s="85"/>
      <c r="FIY27" s="85"/>
      <c r="FIZ27" s="85"/>
      <c r="FJA27" s="85"/>
      <c r="FJB27" s="85"/>
      <c r="FJC27" s="85"/>
      <c r="FJD27" s="85"/>
      <c r="FJE27" s="85"/>
      <c r="FJF27" s="85"/>
      <c r="FJG27" s="85"/>
      <c r="FJH27" s="85"/>
      <c r="FJI27" s="85"/>
      <c r="FJJ27" s="85"/>
      <c r="FJK27" s="85"/>
      <c r="FJL27" s="85"/>
      <c r="FJM27" s="85"/>
      <c r="FJN27" s="85"/>
      <c r="FJO27" s="85"/>
      <c r="FJP27" s="85"/>
      <c r="FJQ27" s="85"/>
      <c r="FJR27" s="85"/>
      <c r="FJS27" s="85"/>
      <c r="FJT27" s="85"/>
      <c r="FJU27" s="85"/>
      <c r="FJV27" s="85"/>
      <c r="FJW27" s="85"/>
      <c r="FJX27" s="85"/>
      <c r="FJY27" s="85"/>
      <c r="FJZ27" s="85"/>
      <c r="FKA27" s="85"/>
      <c r="FKB27" s="85"/>
      <c r="FKC27" s="85"/>
      <c r="FKD27" s="85"/>
      <c r="FKE27" s="85"/>
      <c r="FKF27" s="85"/>
      <c r="FKG27" s="85"/>
      <c r="FKH27" s="85"/>
      <c r="FKI27" s="85"/>
      <c r="FKJ27" s="85"/>
      <c r="FKK27" s="85"/>
      <c r="FKL27" s="85"/>
      <c r="FKM27" s="85"/>
      <c r="FKN27" s="85"/>
      <c r="FKO27" s="85"/>
      <c r="FKP27" s="85"/>
      <c r="FKQ27" s="85"/>
      <c r="FKR27" s="85"/>
      <c r="FKS27" s="85"/>
      <c r="FKT27" s="85"/>
      <c r="FKU27" s="85"/>
      <c r="FKV27" s="85"/>
      <c r="FKW27" s="85"/>
      <c r="FKX27" s="85"/>
      <c r="FKY27" s="85"/>
      <c r="FKZ27" s="85"/>
      <c r="FLA27" s="85"/>
      <c r="FLB27" s="85"/>
      <c r="FLC27" s="85"/>
      <c r="FLD27" s="85"/>
      <c r="FLE27" s="85"/>
      <c r="FLF27" s="85"/>
      <c r="FLG27" s="85"/>
      <c r="FLH27" s="85"/>
      <c r="FLI27" s="85"/>
      <c r="FLJ27" s="85"/>
      <c r="FLK27" s="85"/>
      <c r="FLL27" s="85"/>
      <c r="FLM27" s="85"/>
      <c r="FLN27" s="85"/>
      <c r="FLO27" s="85"/>
      <c r="FLP27" s="85"/>
      <c r="FLQ27" s="85"/>
      <c r="FLR27" s="85"/>
      <c r="FLS27" s="85"/>
      <c r="FLT27" s="85"/>
      <c r="FLU27" s="85"/>
      <c r="FLV27" s="85"/>
      <c r="FLW27" s="85"/>
      <c r="FLX27" s="85"/>
      <c r="FLY27" s="85"/>
      <c r="FLZ27" s="85"/>
      <c r="FMA27" s="85"/>
      <c r="FMB27" s="85"/>
      <c r="FMC27" s="85"/>
      <c r="FMD27" s="85"/>
      <c r="FME27" s="85"/>
      <c r="FMF27" s="85"/>
      <c r="FMG27" s="85"/>
      <c r="FMH27" s="85"/>
      <c r="FMI27" s="85"/>
      <c r="FMJ27" s="85"/>
      <c r="FMK27" s="85"/>
      <c r="FML27" s="85"/>
      <c r="FMM27" s="85"/>
      <c r="FMN27" s="85"/>
      <c r="FMO27" s="85"/>
      <c r="FMP27" s="85"/>
      <c r="FMQ27" s="85"/>
      <c r="FMR27" s="85"/>
      <c r="FMS27" s="85"/>
      <c r="FMT27" s="85"/>
      <c r="FMU27" s="85"/>
      <c r="FMV27" s="85"/>
      <c r="FMW27" s="85"/>
      <c r="FMX27" s="85"/>
      <c r="FMY27" s="85"/>
      <c r="FMZ27" s="85"/>
      <c r="FNA27" s="85"/>
      <c r="FNB27" s="85"/>
      <c r="FNC27" s="85"/>
      <c r="FND27" s="85"/>
      <c r="FNE27" s="85"/>
      <c r="FNF27" s="85"/>
      <c r="FNG27" s="85"/>
      <c r="FNH27" s="85"/>
      <c r="FNI27" s="85"/>
      <c r="FNJ27" s="85"/>
      <c r="FNK27" s="85"/>
      <c r="FNL27" s="85"/>
      <c r="FNM27" s="85"/>
      <c r="FNN27" s="85"/>
      <c r="FNO27" s="85"/>
      <c r="FNP27" s="85"/>
      <c r="FNQ27" s="85"/>
      <c r="FNR27" s="85"/>
      <c r="FNS27" s="85"/>
      <c r="FNT27" s="85"/>
      <c r="FNU27" s="85"/>
      <c r="FNV27" s="85"/>
      <c r="FNW27" s="85"/>
      <c r="FNX27" s="85"/>
      <c r="FNY27" s="85"/>
      <c r="FNZ27" s="85"/>
      <c r="FOA27" s="85"/>
      <c r="FOB27" s="85"/>
      <c r="FOC27" s="85"/>
      <c r="FOD27" s="85"/>
      <c r="FOE27" s="85"/>
      <c r="FOF27" s="85"/>
      <c r="FOG27" s="85"/>
      <c r="FOH27" s="85"/>
      <c r="FOI27" s="85"/>
      <c r="FOJ27" s="85"/>
      <c r="FOK27" s="85"/>
      <c r="FOL27" s="85"/>
      <c r="FOM27" s="85"/>
      <c r="FON27" s="85"/>
      <c r="FOO27" s="85"/>
      <c r="FOP27" s="85"/>
      <c r="FOQ27" s="85"/>
      <c r="FOR27" s="85"/>
      <c r="FOS27" s="85"/>
      <c r="FOT27" s="85"/>
      <c r="FOU27" s="85"/>
      <c r="FOV27" s="85"/>
      <c r="FOW27" s="85"/>
      <c r="FOX27" s="85"/>
      <c r="FOY27" s="85"/>
      <c r="FOZ27" s="85"/>
      <c r="FPA27" s="85"/>
      <c r="FPB27" s="85"/>
      <c r="FPC27" s="85"/>
      <c r="FPD27" s="85"/>
      <c r="FPE27" s="85"/>
      <c r="FPF27" s="85"/>
      <c r="FPG27" s="85"/>
      <c r="FPH27" s="85"/>
      <c r="FPI27" s="85"/>
      <c r="FPJ27" s="85"/>
      <c r="FPK27" s="85"/>
      <c r="FPL27" s="85"/>
      <c r="FPM27" s="85"/>
      <c r="FPN27" s="85"/>
      <c r="FPO27" s="85"/>
      <c r="FPP27" s="85"/>
      <c r="FPQ27" s="85"/>
      <c r="FPR27" s="85"/>
      <c r="FPS27" s="85"/>
      <c r="FPT27" s="85"/>
      <c r="FPU27" s="85"/>
      <c r="FPV27" s="85"/>
      <c r="FPW27" s="85"/>
      <c r="FPX27" s="85"/>
      <c r="FPY27" s="85"/>
      <c r="FPZ27" s="85"/>
      <c r="FQA27" s="85"/>
      <c r="FQB27" s="85"/>
      <c r="FQC27" s="85"/>
      <c r="FQD27" s="85"/>
      <c r="FQE27" s="85"/>
      <c r="FQF27" s="85"/>
      <c r="FQG27" s="85"/>
      <c r="FQH27" s="85"/>
      <c r="FQI27" s="85"/>
      <c r="FQJ27" s="85"/>
      <c r="FQK27" s="85"/>
      <c r="FQL27" s="85"/>
      <c r="FQM27" s="85"/>
      <c r="FQN27" s="85"/>
      <c r="FQO27" s="85"/>
      <c r="FQP27" s="85"/>
      <c r="FQQ27" s="85"/>
      <c r="FQR27" s="85"/>
      <c r="FQS27" s="85"/>
      <c r="FQT27" s="85"/>
      <c r="FQU27" s="85"/>
      <c r="FQV27" s="85"/>
      <c r="FQW27" s="85"/>
      <c r="FQX27" s="85"/>
      <c r="FQY27" s="85"/>
      <c r="FQZ27" s="85"/>
      <c r="FRA27" s="85"/>
      <c r="FRB27" s="85"/>
      <c r="FRC27" s="85"/>
      <c r="FRD27" s="85"/>
      <c r="FRE27" s="85"/>
      <c r="FRF27" s="85"/>
      <c r="FRG27" s="85"/>
      <c r="FRH27" s="85"/>
      <c r="FRI27" s="85"/>
      <c r="FRJ27" s="85"/>
      <c r="FRK27" s="85"/>
      <c r="FRL27" s="85"/>
      <c r="FRM27" s="85"/>
      <c r="FRN27" s="85"/>
      <c r="FRO27" s="85"/>
      <c r="FRP27" s="85"/>
      <c r="FRQ27" s="85"/>
      <c r="FRR27" s="85"/>
      <c r="FRS27" s="85"/>
      <c r="FRT27" s="85"/>
      <c r="FRU27" s="85"/>
      <c r="FRV27" s="85"/>
      <c r="FRW27" s="85"/>
      <c r="FRX27" s="85"/>
      <c r="FRY27" s="85"/>
      <c r="FRZ27" s="85"/>
      <c r="FSA27" s="85"/>
      <c r="FSB27" s="85"/>
      <c r="FSC27" s="85"/>
      <c r="FSD27" s="85"/>
      <c r="FSE27" s="85"/>
      <c r="FSF27" s="85"/>
      <c r="FSG27" s="85"/>
      <c r="FSH27" s="85"/>
      <c r="FSI27" s="85"/>
      <c r="FSJ27" s="85"/>
      <c r="FSK27" s="85"/>
      <c r="FSL27" s="85"/>
      <c r="FSM27" s="85"/>
      <c r="FSN27" s="85"/>
      <c r="FSO27" s="85"/>
      <c r="FSP27" s="85"/>
      <c r="FSQ27" s="85"/>
      <c r="FSR27" s="85"/>
      <c r="FSS27" s="85"/>
      <c r="FST27" s="85"/>
      <c r="FSU27" s="85"/>
      <c r="FSV27" s="85"/>
      <c r="FSW27" s="85"/>
      <c r="FSX27" s="85"/>
      <c r="FSY27" s="85"/>
      <c r="FSZ27" s="85"/>
      <c r="FTA27" s="85"/>
      <c r="FTB27" s="85"/>
      <c r="FTC27" s="85"/>
      <c r="FTD27" s="85"/>
      <c r="FTE27" s="85"/>
      <c r="FTF27" s="85"/>
      <c r="FTG27" s="85"/>
      <c r="FTH27" s="85"/>
      <c r="FTI27" s="85"/>
      <c r="FTJ27" s="85"/>
      <c r="FTK27" s="85"/>
      <c r="FTL27" s="85"/>
      <c r="FTM27" s="85"/>
      <c r="FTN27" s="85"/>
      <c r="FTO27" s="85"/>
      <c r="FTP27" s="85"/>
      <c r="FTQ27" s="85"/>
      <c r="FTR27" s="85"/>
      <c r="FTS27" s="85"/>
      <c r="FTT27" s="85"/>
      <c r="FTU27" s="85"/>
      <c r="FTV27" s="85"/>
      <c r="FTW27" s="85"/>
      <c r="FTX27" s="85"/>
      <c r="FTY27" s="85"/>
      <c r="FTZ27" s="85"/>
      <c r="FUA27" s="85"/>
      <c r="FUB27" s="85"/>
      <c r="FUC27" s="85"/>
      <c r="FUD27" s="85"/>
      <c r="FUE27" s="85"/>
      <c r="FUF27" s="85"/>
      <c r="FUG27" s="85"/>
      <c r="FUH27" s="85"/>
      <c r="FUI27" s="85"/>
      <c r="FUJ27" s="85"/>
      <c r="FUK27" s="85"/>
      <c r="FUL27" s="85"/>
      <c r="FUM27" s="85"/>
      <c r="FUN27" s="85"/>
      <c r="FUO27" s="85"/>
      <c r="FUP27" s="85"/>
      <c r="FUQ27" s="85"/>
      <c r="FUR27" s="85"/>
      <c r="FUS27" s="85"/>
      <c r="FUT27" s="85"/>
      <c r="FUU27" s="85"/>
      <c r="FUV27" s="85"/>
      <c r="FUW27" s="85"/>
      <c r="FUX27" s="85"/>
      <c r="FUY27" s="85"/>
      <c r="FUZ27" s="85"/>
      <c r="FVA27" s="85"/>
      <c r="FVB27" s="85"/>
      <c r="FVC27" s="85"/>
      <c r="FVD27" s="85"/>
      <c r="FVE27" s="85"/>
      <c r="FVF27" s="85"/>
      <c r="FVG27" s="85"/>
      <c r="FVH27" s="85"/>
      <c r="FVI27" s="85"/>
      <c r="FVJ27" s="85"/>
      <c r="FVK27" s="85"/>
      <c r="FVL27" s="85"/>
      <c r="FVM27" s="85"/>
      <c r="FVN27" s="85"/>
      <c r="FVO27" s="85"/>
      <c r="FVP27" s="85"/>
      <c r="FVQ27" s="85"/>
      <c r="FVR27" s="85"/>
      <c r="FVS27" s="85"/>
      <c r="FVT27" s="85"/>
      <c r="FVU27" s="85"/>
      <c r="FVV27" s="85"/>
      <c r="FVW27" s="85"/>
      <c r="FVX27" s="85"/>
      <c r="FVY27" s="85"/>
      <c r="FVZ27" s="85"/>
      <c r="FWA27" s="85"/>
      <c r="FWB27" s="85"/>
      <c r="FWC27" s="85"/>
      <c r="FWD27" s="85"/>
      <c r="FWE27" s="85"/>
      <c r="FWF27" s="85"/>
      <c r="FWG27" s="85"/>
      <c r="FWH27" s="85"/>
      <c r="FWI27" s="85"/>
      <c r="FWJ27" s="85"/>
      <c r="FWK27" s="85"/>
      <c r="FWL27" s="85"/>
      <c r="FWM27" s="85"/>
      <c r="FWN27" s="85"/>
      <c r="FWO27" s="85"/>
      <c r="FWP27" s="85"/>
      <c r="FWQ27" s="85"/>
      <c r="FWR27" s="85"/>
      <c r="FWS27" s="85"/>
      <c r="FWT27" s="85"/>
      <c r="FWU27" s="85"/>
      <c r="FWV27" s="85"/>
      <c r="FWW27" s="85"/>
      <c r="FWX27" s="85"/>
      <c r="FWY27" s="85"/>
      <c r="FWZ27" s="85"/>
      <c r="FXA27" s="85"/>
      <c r="FXB27" s="85"/>
      <c r="FXC27" s="85"/>
      <c r="FXD27" s="85"/>
      <c r="FXE27" s="85"/>
      <c r="FXF27" s="85"/>
      <c r="FXG27" s="85"/>
      <c r="FXH27" s="85"/>
      <c r="FXI27" s="85"/>
      <c r="FXJ27" s="85"/>
      <c r="FXK27" s="85"/>
      <c r="FXL27" s="85"/>
      <c r="FXM27" s="85"/>
      <c r="FXN27" s="85"/>
      <c r="FXO27" s="85"/>
      <c r="FXP27" s="85"/>
      <c r="FXQ27" s="85"/>
      <c r="FXR27" s="85"/>
      <c r="FXS27" s="85"/>
      <c r="FXT27" s="85"/>
      <c r="FXU27" s="85"/>
      <c r="FXV27" s="85"/>
      <c r="FXW27" s="85"/>
      <c r="FXX27" s="85"/>
      <c r="FXY27" s="85"/>
      <c r="FXZ27" s="85"/>
      <c r="FYA27" s="85"/>
      <c r="FYB27" s="85"/>
      <c r="FYC27" s="85"/>
      <c r="FYD27" s="85"/>
      <c r="FYE27" s="85"/>
      <c r="FYF27" s="85"/>
      <c r="FYG27" s="85"/>
      <c r="FYH27" s="85"/>
      <c r="FYI27" s="85"/>
      <c r="FYJ27" s="85"/>
      <c r="FYK27" s="85"/>
      <c r="FYL27" s="85"/>
      <c r="FYM27" s="85"/>
      <c r="FYN27" s="85"/>
      <c r="FYO27" s="85"/>
      <c r="FYP27" s="85"/>
      <c r="FYQ27" s="85"/>
      <c r="FYR27" s="85"/>
      <c r="FYS27" s="85"/>
      <c r="FYT27" s="85"/>
      <c r="FYU27" s="85"/>
      <c r="FYV27" s="85"/>
      <c r="FYW27" s="85"/>
      <c r="FYX27" s="85"/>
      <c r="FYY27" s="85"/>
      <c r="FYZ27" s="85"/>
      <c r="FZA27" s="85"/>
      <c r="FZB27" s="85"/>
      <c r="FZC27" s="85"/>
      <c r="FZD27" s="85"/>
      <c r="FZE27" s="85"/>
      <c r="FZF27" s="85"/>
      <c r="FZG27" s="85"/>
      <c r="FZH27" s="85"/>
      <c r="FZI27" s="85"/>
      <c r="FZJ27" s="85"/>
      <c r="FZK27" s="85"/>
      <c r="FZL27" s="85"/>
      <c r="FZM27" s="85"/>
      <c r="FZN27" s="85"/>
      <c r="FZO27" s="85"/>
      <c r="FZP27" s="85"/>
      <c r="FZQ27" s="85"/>
      <c r="FZR27" s="85"/>
      <c r="FZS27" s="85"/>
      <c r="FZT27" s="85"/>
      <c r="FZU27" s="85"/>
      <c r="FZV27" s="85"/>
      <c r="FZW27" s="85"/>
      <c r="FZX27" s="85"/>
      <c r="FZY27" s="85"/>
      <c r="FZZ27" s="85"/>
      <c r="GAA27" s="85"/>
      <c r="GAB27" s="85"/>
      <c r="GAC27" s="85"/>
      <c r="GAD27" s="85"/>
      <c r="GAE27" s="85"/>
      <c r="GAF27" s="85"/>
      <c r="GAG27" s="85"/>
      <c r="GAH27" s="85"/>
      <c r="GAI27" s="85"/>
      <c r="GAJ27" s="85"/>
      <c r="GAK27" s="85"/>
      <c r="GAL27" s="85"/>
      <c r="GAM27" s="85"/>
      <c r="GAN27" s="85"/>
      <c r="GAO27" s="85"/>
      <c r="GAP27" s="85"/>
      <c r="GAQ27" s="85"/>
      <c r="GAR27" s="85"/>
      <c r="GAS27" s="85"/>
      <c r="GAT27" s="85"/>
      <c r="GAU27" s="85"/>
      <c r="GAV27" s="85"/>
      <c r="GAW27" s="85"/>
      <c r="GAX27" s="85"/>
      <c r="GAY27" s="85"/>
      <c r="GAZ27" s="85"/>
      <c r="GBA27" s="85"/>
      <c r="GBB27" s="85"/>
      <c r="GBC27" s="85"/>
      <c r="GBD27" s="85"/>
      <c r="GBE27" s="85"/>
      <c r="GBF27" s="85"/>
      <c r="GBG27" s="85"/>
      <c r="GBH27" s="85"/>
      <c r="GBI27" s="85"/>
      <c r="GBJ27" s="85"/>
      <c r="GBK27" s="85"/>
      <c r="GBL27" s="85"/>
      <c r="GBM27" s="85"/>
      <c r="GBN27" s="85"/>
      <c r="GBO27" s="85"/>
      <c r="GBP27" s="85"/>
      <c r="GBQ27" s="85"/>
      <c r="GBR27" s="85"/>
      <c r="GBS27" s="85"/>
      <c r="GBT27" s="85"/>
      <c r="GBU27" s="85"/>
      <c r="GBV27" s="85"/>
      <c r="GBW27" s="85"/>
      <c r="GBX27" s="85"/>
      <c r="GBY27" s="85"/>
      <c r="GBZ27" s="85"/>
      <c r="GCA27" s="85"/>
      <c r="GCB27" s="85"/>
      <c r="GCC27" s="85"/>
      <c r="GCD27" s="85"/>
      <c r="GCE27" s="85"/>
      <c r="GCF27" s="85"/>
      <c r="GCG27" s="85"/>
      <c r="GCH27" s="85"/>
      <c r="GCI27" s="85"/>
      <c r="GCJ27" s="85"/>
      <c r="GCK27" s="85"/>
      <c r="GCL27" s="85"/>
      <c r="GCM27" s="85"/>
      <c r="GCN27" s="85"/>
      <c r="GCO27" s="85"/>
      <c r="GCP27" s="85"/>
      <c r="GCQ27" s="85"/>
      <c r="GCR27" s="85"/>
      <c r="GCS27" s="85"/>
      <c r="GCT27" s="85"/>
      <c r="GCU27" s="85"/>
      <c r="GCV27" s="85"/>
      <c r="GCW27" s="85"/>
      <c r="GCX27" s="85"/>
      <c r="GCY27" s="85"/>
      <c r="GCZ27" s="85"/>
      <c r="GDA27" s="85"/>
      <c r="GDB27" s="85"/>
      <c r="GDC27" s="85"/>
      <c r="GDD27" s="85"/>
      <c r="GDE27" s="85"/>
      <c r="GDF27" s="85"/>
      <c r="GDG27" s="85"/>
      <c r="GDH27" s="85"/>
      <c r="GDI27" s="85"/>
      <c r="GDJ27" s="85"/>
      <c r="GDK27" s="85"/>
      <c r="GDL27" s="85"/>
      <c r="GDM27" s="85"/>
      <c r="GDN27" s="85"/>
      <c r="GDO27" s="85"/>
      <c r="GDP27" s="85"/>
      <c r="GDQ27" s="85"/>
      <c r="GDR27" s="85"/>
      <c r="GDS27" s="85"/>
      <c r="GDT27" s="85"/>
      <c r="GDU27" s="85"/>
      <c r="GDV27" s="85"/>
      <c r="GDW27" s="85"/>
      <c r="GDX27" s="85"/>
      <c r="GDY27" s="85"/>
      <c r="GDZ27" s="85"/>
      <c r="GEA27" s="85"/>
      <c r="GEB27" s="85"/>
      <c r="GEC27" s="85"/>
      <c r="GED27" s="85"/>
      <c r="GEE27" s="85"/>
      <c r="GEF27" s="85"/>
      <c r="GEG27" s="85"/>
      <c r="GEH27" s="85"/>
      <c r="GEI27" s="85"/>
      <c r="GEJ27" s="85"/>
      <c r="GEK27" s="85"/>
      <c r="GEL27" s="85"/>
      <c r="GEM27" s="85"/>
      <c r="GEN27" s="85"/>
      <c r="GEO27" s="85"/>
      <c r="GEP27" s="85"/>
      <c r="GEQ27" s="85"/>
      <c r="GER27" s="85"/>
      <c r="GES27" s="85"/>
      <c r="GET27" s="85"/>
      <c r="GEU27" s="85"/>
      <c r="GEV27" s="85"/>
      <c r="GEW27" s="85"/>
      <c r="GEX27" s="85"/>
      <c r="GEY27" s="85"/>
      <c r="GEZ27" s="85"/>
      <c r="GFA27" s="85"/>
      <c r="GFB27" s="85"/>
      <c r="GFC27" s="85"/>
      <c r="GFD27" s="85"/>
      <c r="GFE27" s="85"/>
      <c r="GFF27" s="85"/>
      <c r="GFG27" s="85"/>
      <c r="GFH27" s="85"/>
      <c r="GFI27" s="85"/>
      <c r="GFJ27" s="85"/>
      <c r="GFK27" s="85"/>
      <c r="GFL27" s="85"/>
      <c r="GFM27" s="85"/>
      <c r="GFN27" s="85"/>
      <c r="GFO27" s="85"/>
      <c r="GFP27" s="85"/>
      <c r="GFQ27" s="85"/>
      <c r="GFR27" s="85"/>
      <c r="GFS27" s="85"/>
      <c r="GFT27" s="85"/>
      <c r="GFU27" s="85"/>
      <c r="GFV27" s="85"/>
      <c r="GFW27" s="85"/>
      <c r="GFX27" s="85"/>
      <c r="GFY27" s="85"/>
      <c r="GFZ27" s="85"/>
      <c r="GGA27" s="85"/>
      <c r="GGB27" s="85"/>
      <c r="GGC27" s="85"/>
      <c r="GGD27" s="85"/>
      <c r="GGE27" s="85"/>
      <c r="GGF27" s="85"/>
      <c r="GGG27" s="85"/>
      <c r="GGH27" s="85"/>
      <c r="GGI27" s="85"/>
      <c r="GGJ27" s="85"/>
      <c r="GGK27" s="85"/>
      <c r="GGL27" s="85"/>
      <c r="GGM27" s="85"/>
      <c r="GGN27" s="85"/>
      <c r="GGO27" s="85"/>
      <c r="GGP27" s="85"/>
      <c r="GGQ27" s="85"/>
      <c r="GGR27" s="85"/>
      <c r="GGS27" s="85"/>
      <c r="GGT27" s="85"/>
      <c r="GGU27" s="85"/>
      <c r="GGV27" s="85"/>
      <c r="GGW27" s="85"/>
      <c r="GGX27" s="85"/>
      <c r="GGY27" s="85"/>
      <c r="GGZ27" s="85"/>
      <c r="GHA27" s="85"/>
      <c r="GHB27" s="85"/>
      <c r="GHC27" s="85"/>
      <c r="GHD27" s="85"/>
      <c r="GHE27" s="85"/>
      <c r="GHF27" s="85"/>
      <c r="GHG27" s="85"/>
      <c r="GHH27" s="85"/>
      <c r="GHI27" s="85"/>
      <c r="GHJ27" s="85"/>
      <c r="GHK27" s="85"/>
      <c r="GHL27" s="85"/>
      <c r="GHM27" s="85"/>
      <c r="GHN27" s="85"/>
      <c r="GHO27" s="85"/>
      <c r="GHP27" s="85"/>
      <c r="GHQ27" s="85"/>
      <c r="GHR27" s="85"/>
      <c r="GHS27" s="85"/>
      <c r="GHT27" s="85"/>
      <c r="GHU27" s="85"/>
      <c r="GHV27" s="85"/>
      <c r="GHW27" s="85"/>
      <c r="GHX27" s="85"/>
      <c r="GHY27" s="85"/>
      <c r="GHZ27" s="85"/>
      <c r="GIA27" s="85"/>
      <c r="GIB27" s="85"/>
      <c r="GIC27" s="85"/>
      <c r="GID27" s="85"/>
      <c r="GIE27" s="85"/>
      <c r="GIF27" s="85"/>
      <c r="GIG27" s="85"/>
      <c r="GIH27" s="85"/>
      <c r="GII27" s="85"/>
      <c r="GIJ27" s="85"/>
      <c r="GIK27" s="85"/>
      <c r="GIL27" s="85"/>
      <c r="GIM27" s="85"/>
      <c r="GIN27" s="85"/>
      <c r="GIO27" s="85"/>
      <c r="GIP27" s="85"/>
      <c r="GIQ27" s="85"/>
      <c r="GIR27" s="85"/>
      <c r="GIS27" s="85"/>
      <c r="GIT27" s="85"/>
      <c r="GIU27" s="85"/>
      <c r="GIV27" s="85"/>
      <c r="GIW27" s="85"/>
      <c r="GIX27" s="85"/>
      <c r="GIY27" s="85"/>
      <c r="GIZ27" s="85"/>
      <c r="GJA27" s="85"/>
      <c r="GJB27" s="85"/>
      <c r="GJC27" s="85"/>
      <c r="GJD27" s="85"/>
      <c r="GJE27" s="85"/>
      <c r="GJF27" s="85"/>
      <c r="GJG27" s="85"/>
      <c r="GJH27" s="85"/>
      <c r="GJI27" s="85"/>
      <c r="GJJ27" s="85"/>
      <c r="GJK27" s="85"/>
      <c r="GJL27" s="85"/>
      <c r="GJM27" s="85"/>
      <c r="GJN27" s="85"/>
      <c r="GJO27" s="85"/>
      <c r="GJP27" s="85"/>
      <c r="GJQ27" s="85"/>
      <c r="GJR27" s="85"/>
      <c r="GJS27" s="85"/>
      <c r="GJT27" s="85"/>
      <c r="GJU27" s="85"/>
      <c r="GJV27" s="85"/>
      <c r="GJW27" s="85"/>
      <c r="GJX27" s="85"/>
      <c r="GJY27" s="85"/>
      <c r="GJZ27" s="85"/>
      <c r="GKA27" s="85"/>
      <c r="GKB27" s="85"/>
      <c r="GKC27" s="85"/>
      <c r="GKD27" s="85"/>
      <c r="GKE27" s="85"/>
      <c r="GKF27" s="85"/>
      <c r="GKG27" s="85"/>
      <c r="GKH27" s="85"/>
      <c r="GKI27" s="85"/>
      <c r="GKJ27" s="85"/>
      <c r="GKK27" s="85"/>
      <c r="GKL27" s="85"/>
      <c r="GKM27" s="85"/>
      <c r="GKN27" s="85"/>
      <c r="GKO27" s="85"/>
      <c r="GKP27" s="85"/>
      <c r="GKQ27" s="85"/>
      <c r="GKR27" s="85"/>
      <c r="GKS27" s="85"/>
      <c r="GKT27" s="85"/>
      <c r="GKU27" s="85"/>
      <c r="GKV27" s="85"/>
      <c r="GKW27" s="85"/>
      <c r="GKX27" s="85"/>
      <c r="GKY27" s="85"/>
      <c r="GKZ27" s="85"/>
      <c r="GLA27" s="85"/>
      <c r="GLB27" s="85"/>
      <c r="GLC27" s="85"/>
      <c r="GLD27" s="85"/>
      <c r="GLE27" s="85"/>
      <c r="GLF27" s="85"/>
      <c r="GLG27" s="85"/>
      <c r="GLH27" s="85"/>
      <c r="GLI27" s="85"/>
      <c r="GLJ27" s="85"/>
      <c r="GLK27" s="85"/>
      <c r="GLL27" s="85"/>
      <c r="GLM27" s="85"/>
      <c r="GLN27" s="85"/>
      <c r="GLO27" s="85"/>
      <c r="GLP27" s="85"/>
      <c r="GLQ27" s="85"/>
      <c r="GLR27" s="85"/>
      <c r="GLS27" s="85"/>
      <c r="GLT27" s="85"/>
      <c r="GLU27" s="85"/>
      <c r="GLV27" s="85"/>
      <c r="GLW27" s="85"/>
      <c r="GLX27" s="85"/>
      <c r="GLY27" s="85"/>
      <c r="GLZ27" s="85"/>
      <c r="GMA27" s="85"/>
      <c r="GMB27" s="85"/>
      <c r="GMC27" s="85"/>
      <c r="GMD27" s="85"/>
      <c r="GME27" s="85"/>
      <c r="GMF27" s="85"/>
      <c r="GMG27" s="85"/>
      <c r="GMH27" s="85"/>
      <c r="GMI27" s="85"/>
      <c r="GMJ27" s="85"/>
      <c r="GMK27" s="85"/>
      <c r="GML27" s="85"/>
      <c r="GMM27" s="85"/>
      <c r="GMN27" s="85"/>
      <c r="GMO27" s="85"/>
      <c r="GMP27" s="85"/>
      <c r="GMQ27" s="85"/>
      <c r="GMR27" s="85"/>
      <c r="GMS27" s="85"/>
      <c r="GMT27" s="85"/>
      <c r="GMU27" s="85"/>
      <c r="GMV27" s="85"/>
      <c r="GMW27" s="85"/>
      <c r="GMX27" s="85"/>
      <c r="GMY27" s="85"/>
      <c r="GMZ27" s="85"/>
      <c r="GNA27" s="85"/>
      <c r="GNB27" s="85"/>
      <c r="GNC27" s="85"/>
      <c r="GND27" s="85"/>
      <c r="GNE27" s="85"/>
      <c r="GNF27" s="85"/>
      <c r="GNG27" s="85"/>
      <c r="GNH27" s="85"/>
      <c r="GNI27" s="85"/>
      <c r="GNJ27" s="85"/>
      <c r="GNK27" s="85"/>
      <c r="GNL27" s="85"/>
      <c r="GNM27" s="85"/>
      <c r="GNN27" s="85"/>
      <c r="GNO27" s="85"/>
      <c r="GNP27" s="85"/>
      <c r="GNQ27" s="85"/>
      <c r="GNR27" s="85"/>
      <c r="GNS27" s="85"/>
      <c r="GNT27" s="85"/>
      <c r="GNU27" s="85"/>
      <c r="GNV27" s="85"/>
      <c r="GNW27" s="85"/>
      <c r="GNX27" s="85"/>
      <c r="GNY27" s="85"/>
      <c r="GNZ27" s="85"/>
      <c r="GOA27" s="85"/>
      <c r="GOB27" s="85"/>
      <c r="GOC27" s="85"/>
      <c r="GOD27" s="85"/>
      <c r="GOE27" s="85"/>
      <c r="GOF27" s="85"/>
      <c r="GOG27" s="85"/>
      <c r="GOH27" s="85"/>
      <c r="GOI27" s="85"/>
      <c r="GOJ27" s="85"/>
      <c r="GOK27" s="85"/>
      <c r="GOL27" s="85"/>
      <c r="GOM27" s="85"/>
      <c r="GON27" s="85"/>
      <c r="GOO27" s="85"/>
      <c r="GOP27" s="85"/>
      <c r="GOQ27" s="85"/>
      <c r="GOR27" s="85"/>
      <c r="GOS27" s="85"/>
      <c r="GOT27" s="85"/>
      <c r="GOU27" s="85"/>
      <c r="GOV27" s="85"/>
      <c r="GOW27" s="85"/>
      <c r="GOX27" s="85"/>
      <c r="GOY27" s="85"/>
      <c r="GOZ27" s="85"/>
      <c r="GPA27" s="85"/>
      <c r="GPB27" s="85"/>
      <c r="GPC27" s="85"/>
      <c r="GPD27" s="85"/>
      <c r="GPE27" s="85"/>
      <c r="GPF27" s="85"/>
      <c r="GPG27" s="85"/>
      <c r="GPH27" s="85"/>
      <c r="GPI27" s="85"/>
      <c r="GPJ27" s="85"/>
      <c r="GPK27" s="85"/>
      <c r="GPL27" s="85"/>
      <c r="GPM27" s="85"/>
      <c r="GPN27" s="85"/>
      <c r="GPO27" s="85"/>
      <c r="GPP27" s="85"/>
      <c r="GPQ27" s="85"/>
      <c r="GPR27" s="85"/>
      <c r="GPS27" s="85"/>
      <c r="GPT27" s="85"/>
      <c r="GPU27" s="85"/>
      <c r="GPV27" s="85"/>
      <c r="GPW27" s="85"/>
      <c r="GPX27" s="85"/>
      <c r="GPY27" s="85"/>
      <c r="GPZ27" s="85"/>
      <c r="GQA27" s="85"/>
      <c r="GQB27" s="85"/>
      <c r="GQC27" s="85"/>
      <c r="GQD27" s="85"/>
      <c r="GQE27" s="85"/>
      <c r="GQF27" s="85"/>
      <c r="GQG27" s="85"/>
      <c r="GQH27" s="85"/>
      <c r="GQI27" s="85"/>
      <c r="GQJ27" s="85"/>
      <c r="GQK27" s="85"/>
      <c r="GQL27" s="85"/>
      <c r="GQM27" s="85"/>
      <c r="GQN27" s="85"/>
      <c r="GQO27" s="85"/>
      <c r="GQP27" s="85"/>
      <c r="GQQ27" s="85"/>
      <c r="GQR27" s="85"/>
      <c r="GQS27" s="85"/>
      <c r="GQT27" s="85"/>
      <c r="GQU27" s="85"/>
      <c r="GQV27" s="85"/>
      <c r="GQW27" s="85"/>
      <c r="GQX27" s="85"/>
      <c r="GQY27" s="85"/>
      <c r="GQZ27" s="85"/>
      <c r="GRA27" s="85"/>
      <c r="GRB27" s="85"/>
      <c r="GRC27" s="85"/>
      <c r="GRD27" s="85"/>
      <c r="GRE27" s="85"/>
      <c r="GRF27" s="85"/>
      <c r="GRG27" s="85"/>
      <c r="GRH27" s="85"/>
      <c r="GRI27" s="85"/>
      <c r="GRJ27" s="85"/>
      <c r="GRK27" s="85"/>
      <c r="GRL27" s="85"/>
      <c r="GRM27" s="85"/>
      <c r="GRN27" s="85"/>
      <c r="GRO27" s="85"/>
      <c r="GRP27" s="85"/>
      <c r="GRQ27" s="85"/>
      <c r="GRR27" s="85"/>
      <c r="GRS27" s="85"/>
      <c r="GRT27" s="85"/>
      <c r="GRU27" s="85"/>
      <c r="GRV27" s="85"/>
      <c r="GRW27" s="85"/>
      <c r="GRX27" s="85"/>
      <c r="GRY27" s="85"/>
      <c r="GRZ27" s="85"/>
      <c r="GSA27" s="85"/>
      <c r="GSB27" s="85"/>
      <c r="GSC27" s="85"/>
      <c r="GSD27" s="85"/>
      <c r="GSE27" s="85"/>
      <c r="GSF27" s="85"/>
      <c r="GSG27" s="85"/>
      <c r="GSH27" s="85"/>
      <c r="GSI27" s="85"/>
      <c r="GSJ27" s="85"/>
      <c r="GSK27" s="85"/>
      <c r="GSL27" s="85"/>
      <c r="GSM27" s="85"/>
      <c r="GSN27" s="85"/>
      <c r="GSO27" s="85"/>
      <c r="GSP27" s="85"/>
      <c r="GSQ27" s="85"/>
      <c r="GSR27" s="85"/>
      <c r="GSS27" s="85"/>
      <c r="GST27" s="85"/>
      <c r="GSU27" s="85"/>
      <c r="GSV27" s="85"/>
      <c r="GSW27" s="85"/>
      <c r="GSX27" s="85"/>
      <c r="GSY27" s="85"/>
      <c r="GSZ27" s="85"/>
      <c r="GTA27" s="85"/>
      <c r="GTB27" s="85"/>
      <c r="GTC27" s="85"/>
      <c r="GTD27" s="85"/>
      <c r="GTE27" s="85"/>
      <c r="GTF27" s="85"/>
      <c r="GTG27" s="85"/>
      <c r="GTH27" s="85"/>
      <c r="GTI27" s="85"/>
      <c r="GTJ27" s="85"/>
      <c r="GTK27" s="85"/>
      <c r="GTL27" s="85"/>
      <c r="GTM27" s="85"/>
      <c r="GTN27" s="85"/>
      <c r="GTO27" s="85"/>
      <c r="GTP27" s="85"/>
      <c r="GTQ27" s="85"/>
      <c r="GTR27" s="85"/>
      <c r="GTS27" s="85"/>
      <c r="GTT27" s="85"/>
      <c r="GTU27" s="85"/>
      <c r="GTV27" s="85"/>
      <c r="GTW27" s="85"/>
      <c r="GTX27" s="85"/>
      <c r="GTY27" s="85"/>
      <c r="GTZ27" s="85"/>
      <c r="GUA27" s="85"/>
      <c r="GUB27" s="85"/>
      <c r="GUC27" s="85"/>
      <c r="GUD27" s="85"/>
      <c r="GUE27" s="85"/>
      <c r="GUF27" s="85"/>
      <c r="GUG27" s="85"/>
      <c r="GUH27" s="85"/>
      <c r="GUI27" s="85"/>
      <c r="GUJ27" s="85"/>
      <c r="GUK27" s="85"/>
      <c r="GUL27" s="85"/>
      <c r="GUM27" s="85"/>
      <c r="GUN27" s="85"/>
      <c r="GUO27" s="85"/>
      <c r="GUP27" s="85"/>
      <c r="GUQ27" s="85"/>
      <c r="GUR27" s="85"/>
      <c r="GUS27" s="85"/>
      <c r="GUT27" s="85"/>
      <c r="GUU27" s="85"/>
      <c r="GUV27" s="85"/>
      <c r="GUW27" s="85"/>
      <c r="GUX27" s="85"/>
      <c r="GUY27" s="85"/>
      <c r="GUZ27" s="85"/>
      <c r="GVA27" s="85"/>
      <c r="GVB27" s="85"/>
      <c r="GVC27" s="85"/>
      <c r="GVD27" s="85"/>
      <c r="GVE27" s="85"/>
      <c r="GVF27" s="85"/>
      <c r="GVG27" s="85"/>
      <c r="GVH27" s="85"/>
      <c r="GVI27" s="85"/>
      <c r="GVJ27" s="85"/>
      <c r="GVK27" s="85"/>
      <c r="GVL27" s="85"/>
      <c r="GVM27" s="85"/>
      <c r="GVN27" s="85"/>
      <c r="GVO27" s="85"/>
      <c r="GVP27" s="85"/>
      <c r="GVQ27" s="85"/>
      <c r="GVR27" s="85"/>
      <c r="GVS27" s="85"/>
      <c r="GVT27" s="85"/>
      <c r="GVU27" s="85"/>
      <c r="GVV27" s="85"/>
      <c r="GVW27" s="85"/>
      <c r="GVX27" s="85"/>
      <c r="GVY27" s="85"/>
      <c r="GVZ27" s="85"/>
      <c r="GWA27" s="85"/>
      <c r="GWB27" s="85"/>
      <c r="GWC27" s="85"/>
      <c r="GWD27" s="85"/>
      <c r="GWE27" s="85"/>
      <c r="GWF27" s="85"/>
      <c r="GWG27" s="85"/>
      <c r="GWH27" s="85"/>
      <c r="GWI27" s="85"/>
      <c r="GWJ27" s="85"/>
      <c r="GWK27" s="85"/>
      <c r="GWL27" s="85"/>
      <c r="GWM27" s="85"/>
      <c r="GWN27" s="85"/>
      <c r="GWO27" s="85"/>
      <c r="GWP27" s="85"/>
      <c r="GWQ27" s="85"/>
      <c r="GWR27" s="85"/>
      <c r="GWS27" s="85"/>
      <c r="GWT27" s="85"/>
      <c r="GWU27" s="85"/>
      <c r="GWV27" s="85"/>
      <c r="GWW27" s="85"/>
      <c r="GWX27" s="85"/>
      <c r="GWY27" s="85"/>
      <c r="GWZ27" s="85"/>
      <c r="GXA27" s="85"/>
      <c r="GXB27" s="85"/>
      <c r="GXC27" s="85"/>
      <c r="GXD27" s="85"/>
      <c r="GXE27" s="85"/>
      <c r="GXF27" s="85"/>
      <c r="GXG27" s="85"/>
      <c r="GXH27" s="85"/>
      <c r="GXI27" s="85"/>
      <c r="GXJ27" s="85"/>
      <c r="GXK27" s="85"/>
      <c r="GXL27" s="85"/>
      <c r="GXM27" s="85"/>
      <c r="GXN27" s="85"/>
      <c r="GXO27" s="85"/>
      <c r="GXP27" s="85"/>
      <c r="GXQ27" s="85"/>
      <c r="GXR27" s="85"/>
      <c r="GXS27" s="85"/>
      <c r="GXT27" s="85"/>
      <c r="GXU27" s="85"/>
      <c r="GXV27" s="85"/>
      <c r="GXW27" s="85"/>
      <c r="GXX27" s="85"/>
      <c r="GXY27" s="85"/>
      <c r="GXZ27" s="85"/>
      <c r="GYA27" s="85"/>
      <c r="GYB27" s="85"/>
      <c r="GYC27" s="85"/>
      <c r="GYD27" s="85"/>
      <c r="GYE27" s="85"/>
      <c r="GYF27" s="85"/>
      <c r="GYG27" s="85"/>
      <c r="GYH27" s="85"/>
      <c r="GYI27" s="85"/>
      <c r="GYJ27" s="85"/>
      <c r="GYK27" s="85"/>
      <c r="GYL27" s="85"/>
      <c r="GYM27" s="85"/>
      <c r="GYN27" s="85"/>
      <c r="GYO27" s="85"/>
      <c r="GYP27" s="85"/>
      <c r="GYQ27" s="85"/>
      <c r="GYR27" s="85"/>
      <c r="GYS27" s="85"/>
      <c r="GYT27" s="85"/>
      <c r="GYU27" s="85"/>
      <c r="GYV27" s="85"/>
      <c r="GYW27" s="85"/>
      <c r="GYX27" s="85"/>
      <c r="GYY27" s="85"/>
      <c r="GYZ27" s="85"/>
      <c r="GZA27" s="85"/>
      <c r="GZB27" s="85"/>
      <c r="GZC27" s="85"/>
      <c r="GZD27" s="85"/>
      <c r="GZE27" s="85"/>
      <c r="GZF27" s="85"/>
      <c r="GZG27" s="85"/>
      <c r="GZH27" s="85"/>
      <c r="GZI27" s="85"/>
      <c r="GZJ27" s="85"/>
      <c r="GZK27" s="85"/>
      <c r="GZL27" s="85"/>
      <c r="GZM27" s="85"/>
      <c r="GZN27" s="85"/>
      <c r="GZO27" s="85"/>
      <c r="GZP27" s="85"/>
      <c r="GZQ27" s="85"/>
      <c r="GZR27" s="85"/>
      <c r="GZS27" s="85"/>
      <c r="GZT27" s="85"/>
      <c r="GZU27" s="85"/>
      <c r="GZV27" s="85"/>
      <c r="GZW27" s="85"/>
      <c r="GZX27" s="85"/>
      <c r="GZY27" s="85"/>
      <c r="GZZ27" s="85"/>
      <c r="HAA27" s="85"/>
      <c r="HAB27" s="85"/>
      <c r="HAC27" s="85"/>
      <c r="HAD27" s="85"/>
      <c r="HAE27" s="85"/>
      <c r="HAF27" s="85"/>
      <c r="HAG27" s="85"/>
      <c r="HAH27" s="85"/>
      <c r="HAI27" s="85"/>
      <c r="HAJ27" s="85"/>
      <c r="HAK27" s="85"/>
      <c r="HAL27" s="85"/>
      <c r="HAM27" s="85"/>
      <c r="HAN27" s="85"/>
      <c r="HAO27" s="85"/>
      <c r="HAP27" s="85"/>
      <c r="HAQ27" s="85"/>
      <c r="HAR27" s="85"/>
      <c r="HAS27" s="85"/>
      <c r="HAT27" s="85"/>
      <c r="HAU27" s="85"/>
      <c r="HAV27" s="85"/>
      <c r="HAW27" s="85"/>
      <c r="HAX27" s="85"/>
      <c r="HAY27" s="85"/>
      <c r="HAZ27" s="85"/>
      <c r="HBA27" s="85"/>
      <c r="HBB27" s="85"/>
      <c r="HBC27" s="85"/>
      <c r="HBD27" s="85"/>
      <c r="HBE27" s="85"/>
      <c r="HBF27" s="85"/>
      <c r="HBG27" s="85"/>
      <c r="HBH27" s="85"/>
      <c r="HBI27" s="85"/>
      <c r="HBJ27" s="85"/>
      <c r="HBK27" s="85"/>
      <c r="HBL27" s="85"/>
      <c r="HBM27" s="85"/>
      <c r="HBN27" s="85"/>
      <c r="HBO27" s="85"/>
      <c r="HBP27" s="85"/>
      <c r="HBQ27" s="85"/>
      <c r="HBR27" s="85"/>
      <c r="HBS27" s="85"/>
      <c r="HBT27" s="85"/>
      <c r="HBU27" s="85"/>
      <c r="HBV27" s="85"/>
      <c r="HBW27" s="85"/>
      <c r="HBX27" s="85"/>
      <c r="HBY27" s="85"/>
      <c r="HBZ27" s="85"/>
      <c r="HCA27" s="85"/>
      <c r="HCB27" s="85"/>
      <c r="HCC27" s="85"/>
      <c r="HCD27" s="85"/>
      <c r="HCE27" s="85"/>
      <c r="HCF27" s="85"/>
      <c r="HCG27" s="85"/>
      <c r="HCH27" s="85"/>
      <c r="HCI27" s="85"/>
      <c r="HCJ27" s="85"/>
      <c r="HCK27" s="85"/>
      <c r="HCL27" s="85"/>
      <c r="HCM27" s="85"/>
      <c r="HCN27" s="85"/>
      <c r="HCO27" s="85"/>
      <c r="HCP27" s="85"/>
      <c r="HCQ27" s="85"/>
      <c r="HCR27" s="85"/>
      <c r="HCS27" s="85"/>
      <c r="HCT27" s="85"/>
      <c r="HCU27" s="85"/>
      <c r="HCV27" s="85"/>
      <c r="HCW27" s="85"/>
      <c r="HCX27" s="85"/>
      <c r="HCY27" s="85"/>
      <c r="HCZ27" s="85"/>
      <c r="HDA27" s="85"/>
      <c r="HDB27" s="85"/>
      <c r="HDC27" s="85"/>
      <c r="HDD27" s="85"/>
      <c r="HDE27" s="85"/>
      <c r="HDF27" s="85"/>
      <c r="HDG27" s="85"/>
      <c r="HDH27" s="85"/>
      <c r="HDI27" s="85"/>
      <c r="HDJ27" s="85"/>
      <c r="HDK27" s="85"/>
      <c r="HDL27" s="85"/>
      <c r="HDM27" s="85"/>
      <c r="HDN27" s="85"/>
      <c r="HDO27" s="85"/>
      <c r="HDP27" s="85"/>
      <c r="HDQ27" s="85"/>
      <c r="HDR27" s="85"/>
      <c r="HDS27" s="85"/>
      <c r="HDT27" s="85"/>
      <c r="HDU27" s="85"/>
      <c r="HDV27" s="85"/>
      <c r="HDW27" s="85"/>
      <c r="HDX27" s="85"/>
      <c r="HDY27" s="85"/>
      <c r="HDZ27" s="85"/>
      <c r="HEA27" s="85"/>
      <c r="HEB27" s="85"/>
      <c r="HEC27" s="85"/>
      <c r="HED27" s="85"/>
      <c r="HEE27" s="85"/>
      <c r="HEF27" s="85"/>
      <c r="HEG27" s="85"/>
      <c r="HEH27" s="85"/>
      <c r="HEI27" s="85"/>
      <c r="HEJ27" s="85"/>
      <c r="HEK27" s="85"/>
      <c r="HEL27" s="85"/>
      <c r="HEM27" s="85"/>
      <c r="HEN27" s="85"/>
      <c r="HEO27" s="85"/>
      <c r="HEP27" s="85"/>
      <c r="HEQ27" s="85"/>
      <c r="HER27" s="85"/>
      <c r="HES27" s="85"/>
      <c r="HET27" s="85"/>
      <c r="HEU27" s="85"/>
      <c r="HEV27" s="85"/>
      <c r="HEW27" s="85"/>
      <c r="HEX27" s="85"/>
      <c r="HEY27" s="85"/>
      <c r="HEZ27" s="85"/>
      <c r="HFA27" s="85"/>
      <c r="HFB27" s="85"/>
      <c r="HFC27" s="85"/>
      <c r="HFD27" s="85"/>
      <c r="HFE27" s="85"/>
      <c r="HFF27" s="85"/>
      <c r="HFG27" s="85"/>
      <c r="HFH27" s="85"/>
      <c r="HFI27" s="85"/>
      <c r="HFJ27" s="85"/>
      <c r="HFK27" s="85"/>
      <c r="HFL27" s="85"/>
      <c r="HFM27" s="85"/>
      <c r="HFN27" s="85"/>
      <c r="HFO27" s="85"/>
      <c r="HFP27" s="85"/>
      <c r="HFQ27" s="85"/>
      <c r="HFR27" s="85"/>
      <c r="HFS27" s="85"/>
      <c r="HFT27" s="85"/>
      <c r="HFU27" s="85"/>
      <c r="HFV27" s="85"/>
      <c r="HFW27" s="85"/>
      <c r="HFX27" s="85"/>
      <c r="HFY27" s="85"/>
      <c r="HFZ27" s="85"/>
      <c r="HGA27" s="85"/>
      <c r="HGB27" s="85"/>
      <c r="HGC27" s="85"/>
      <c r="HGD27" s="85"/>
      <c r="HGE27" s="85"/>
      <c r="HGF27" s="85"/>
      <c r="HGG27" s="85"/>
      <c r="HGH27" s="85"/>
      <c r="HGI27" s="85"/>
      <c r="HGJ27" s="85"/>
      <c r="HGK27" s="85"/>
      <c r="HGL27" s="85"/>
      <c r="HGM27" s="85"/>
      <c r="HGN27" s="85"/>
      <c r="HGO27" s="85"/>
      <c r="HGP27" s="85"/>
      <c r="HGQ27" s="85"/>
      <c r="HGR27" s="85"/>
      <c r="HGS27" s="85"/>
      <c r="HGT27" s="85"/>
      <c r="HGU27" s="85"/>
      <c r="HGV27" s="85"/>
      <c r="HGW27" s="85"/>
      <c r="HGX27" s="85"/>
      <c r="HGY27" s="85"/>
      <c r="HGZ27" s="85"/>
      <c r="HHA27" s="85"/>
      <c r="HHB27" s="85"/>
      <c r="HHC27" s="85"/>
      <c r="HHD27" s="85"/>
      <c r="HHE27" s="85"/>
      <c r="HHF27" s="85"/>
      <c r="HHG27" s="85"/>
      <c r="HHH27" s="85"/>
      <c r="HHI27" s="85"/>
      <c r="HHJ27" s="85"/>
      <c r="HHK27" s="85"/>
      <c r="HHL27" s="85"/>
      <c r="HHM27" s="85"/>
      <c r="HHN27" s="85"/>
      <c r="HHO27" s="85"/>
      <c r="HHP27" s="85"/>
      <c r="HHQ27" s="85"/>
      <c r="HHR27" s="85"/>
      <c r="HHS27" s="85"/>
      <c r="HHT27" s="85"/>
      <c r="HHU27" s="85"/>
      <c r="HHV27" s="85"/>
      <c r="HHW27" s="85"/>
      <c r="HHX27" s="85"/>
      <c r="HHY27" s="85"/>
      <c r="HHZ27" s="85"/>
      <c r="HIA27" s="85"/>
      <c r="HIB27" s="85"/>
      <c r="HIC27" s="85"/>
      <c r="HID27" s="85"/>
      <c r="HIE27" s="85"/>
      <c r="HIF27" s="85"/>
      <c r="HIG27" s="85"/>
      <c r="HIH27" s="85"/>
      <c r="HII27" s="85"/>
      <c r="HIJ27" s="85"/>
      <c r="HIK27" s="85"/>
      <c r="HIL27" s="85"/>
      <c r="HIM27" s="85"/>
      <c r="HIN27" s="85"/>
      <c r="HIO27" s="85"/>
      <c r="HIP27" s="85"/>
      <c r="HIQ27" s="85"/>
      <c r="HIR27" s="85"/>
      <c r="HIS27" s="85"/>
      <c r="HIT27" s="85"/>
      <c r="HIU27" s="85"/>
      <c r="HIV27" s="85"/>
      <c r="HIW27" s="85"/>
      <c r="HIX27" s="85"/>
      <c r="HIY27" s="85"/>
      <c r="HIZ27" s="85"/>
      <c r="HJA27" s="85"/>
      <c r="HJB27" s="85"/>
      <c r="HJC27" s="85"/>
      <c r="HJD27" s="85"/>
      <c r="HJE27" s="85"/>
      <c r="HJF27" s="85"/>
      <c r="HJG27" s="85"/>
      <c r="HJH27" s="85"/>
      <c r="HJI27" s="85"/>
      <c r="HJJ27" s="85"/>
      <c r="HJK27" s="85"/>
      <c r="HJL27" s="85"/>
      <c r="HJM27" s="85"/>
      <c r="HJN27" s="85"/>
      <c r="HJO27" s="85"/>
      <c r="HJP27" s="85"/>
      <c r="HJQ27" s="85"/>
      <c r="HJR27" s="85"/>
      <c r="HJS27" s="85"/>
      <c r="HJT27" s="85"/>
      <c r="HJU27" s="85"/>
      <c r="HJV27" s="85"/>
      <c r="HJW27" s="85"/>
      <c r="HJX27" s="85"/>
      <c r="HJY27" s="85"/>
      <c r="HJZ27" s="85"/>
      <c r="HKA27" s="85"/>
      <c r="HKB27" s="85"/>
      <c r="HKC27" s="85"/>
      <c r="HKD27" s="85"/>
      <c r="HKE27" s="85"/>
      <c r="HKF27" s="85"/>
      <c r="HKG27" s="85"/>
      <c r="HKH27" s="85"/>
      <c r="HKI27" s="85"/>
      <c r="HKJ27" s="85"/>
      <c r="HKK27" s="85"/>
      <c r="HKL27" s="85"/>
      <c r="HKM27" s="85"/>
      <c r="HKN27" s="85"/>
      <c r="HKO27" s="85"/>
      <c r="HKP27" s="85"/>
      <c r="HKQ27" s="85"/>
      <c r="HKR27" s="85"/>
      <c r="HKS27" s="85"/>
      <c r="HKT27" s="85"/>
      <c r="HKU27" s="85"/>
      <c r="HKV27" s="85"/>
      <c r="HKW27" s="85"/>
      <c r="HKX27" s="85"/>
      <c r="HKY27" s="85"/>
      <c r="HKZ27" s="85"/>
      <c r="HLA27" s="85"/>
      <c r="HLB27" s="85"/>
      <c r="HLC27" s="85"/>
      <c r="HLD27" s="85"/>
      <c r="HLE27" s="85"/>
      <c r="HLF27" s="85"/>
      <c r="HLG27" s="85"/>
      <c r="HLH27" s="85"/>
      <c r="HLI27" s="85"/>
      <c r="HLJ27" s="85"/>
      <c r="HLK27" s="85"/>
      <c r="HLL27" s="85"/>
      <c r="HLM27" s="85"/>
      <c r="HLN27" s="85"/>
      <c r="HLO27" s="85"/>
      <c r="HLP27" s="85"/>
      <c r="HLQ27" s="85"/>
      <c r="HLR27" s="85"/>
      <c r="HLS27" s="85"/>
      <c r="HLT27" s="85"/>
      <c r="HLU27" s="85"/>
      <c r="HLV27" s="85"/>
      <c r="HLW27" s="85"/>
      <c r="HLX27" s="85"/>
      <c r="HLY27" s="85"/>
      <c r="HLZ27" s="85"/>
      <c r="HMA27" s="85"/>
      <c r="HMB27" s="85"/>
      <c r="HMC27" s="85"/>
      <c r="HMD27" s="85"/>
      <c r="HME27" s="85"/>
      <c r="HMF27" s="85"/>
      <c r="HMG27" s="85"/>
      <c r="HMH27" s="85"/>
      <c r="HMI27" s="85"/>
      <c r="HMJ27" s="85"/>
      <c r="HMK27" s="85"/>
      <c r="HML27" s="85"/>
      <c r="HMM27" s="85"/>
      <c r="HMN27" s="85"/>
      <c r="HMO27" s="85"/>
      <c r="HMP27" s="85"/>
      <c r="HMQ27" s="85"/>
      <c r="HMR27" s="85"/>
      <c r="HMS27" s="85"/>
      <c r="HMT27" s="85"/>
      <c r="HMU27" s="85"/>
      <c r="HMV27" s="85"/>
      <c r="HMW27" s="85"/>
      <c r="HMX27" s="85"/>
      <c r="HMY27" s="85"/>
      <c r="HMZ27" s="85"/>
      <c r="HNA27" s="85"/>
      <c r="HNB27" s="85"/>
      <c r="HNC27" s="85"/>
      <c r="HND27" s="85"/>
      <c r="HNE27" s="85"/>
      <c r="HNF27" s="85"/>
      <c r="HNG27" s="85"/>
      <c r="HNH27" s="85"/>
      <c r="HNI27" s="85"/>
      <c r="HNJ27" s="85"/>
      <c r="HNK27" s="85"/>
      <c r="HNL27" s="85"/>
      <c r="HNM27" s="85"/>
      <c r="HNN27" s="85"/>
      <c r="HNO27" s="85"/>
      <c r="HNP27" s="85"/>
      <c r="HNQ27" s="85"/>
      <c r="HNR27" s="85"/>
      <c r="HNS27" s="85"/>
      <c r="HNT27" s="85"/>
      <c r="HNU27" s="85"/>
      <c r="HNV27" s="85"/>
      <c r="HNW27" s="85"/>
      <c r="HNX27" s="85"/>
      <c r="HNY27" s="85"/>
      <c r="HNZ27" s="85"/>
      <c r="HOA27" s="85"/>
      <c r="HOB27" s="85"/>
      <c r="HOC27" s="85"/>
      <c r="HOD27" s="85"/>
      <c r="HOE27" s="85"/>
      <c r="HOF27" s="85"/>
      <c r="HOG27" s="85"/>
      <c r="HOH27" s="85"/>
      <c r="HOI27" s="85"/>
      <c r="HOJ27" s="85"/>
      <c r="HOK27" s="85"/>
      <c r="HOL27" s="85"/>
      <c r="HOM27" s="85"/>
      <c r="HON27" s="85"/>
      <c r="HOO27" s="85"/>
      <c r="HOP27" s="85"/>
      <c r="HOQ27" s="85"/>
      <c r="HOR27" s="85"/>
      <c r="HOS27" s="85"/>
      <c r="HOT27" s="85"/>
      <c r="HOU27" s="85"/>
      <c r="HOV27" s="85"/>
      <c r="HOW27" s="85"/>
      <c r="HOX27" s="85"/>
      <c r="HOY27" s="85"/>
      <c r="HOZ27" s="85"/>
      <c r="HPA27" s="85"/>
      <c r="HPB27" s="85"/>
      <c r="HPC27" s="85"/>
      <c r="HPD27" s="85"/>
      <c r="HPE27" s="85"/>
      <c r="HPF27" s="85"/>
      <c r="HPG27" s="85"/>
      <c r="HPH27" s="85"/>
      <c r="HPI27" s="85"/>
      <c r="HPJ27" s="85"/>
      <c r="HPK27" s="85"/>
      <c r="HPL27" s="85"/>
      <c r="HPM27" s="85"/>
      <c r="HPN27" s="85"/>
      <c r="HPO27" s="85"/>
      <c r="HPP27" s="85"/>
      <c r="HPQ27" s="85"/>
      <c r="HPR27" s="85"/>
      <c r="HPS27" s="85"/>
      <c r="HPT27" s="85"/>
      <c r="HPU27" s="85"/>
      <c r="HPV27" s="85"/>
      <c r="HPW27" s="85"/>
      <c r="HPX27" s="85"/>
      <c r="HPY27" s="85"/>
      <c r="HPZ27" s="85"/>
      <c r="HQA27" s="85"/>
      <c r="HQB27" s="85"/>
      <c r="HQC27" s="85"/>
      <c r="HQD27" s="85"/>
      <c r="HQE27" s="85"/>
      <c r="HQF27" s="85"/>
      <c r="HQG27" s="85"/>
      <c r="HQH27" s="85"/>
      <c r="HQI27" s="85"/>
      <c r="HQJ27" s="85"/>
      <c r="HQK27" s="85"/>
      <c r="HQL27" s="85"/>
      <c r="HQM27" s="85"/>
      <c r="HQN27" s="85"/>
      <c r="HQO27" s="85"/>
      <c r="HQP27" s="85"/>
      <c r="HQQ27" s="85"/>
      <c r="HQR27" s="85"/>
      <c r="HQS27" s="85"/>
      <c r="HQT27" s="85"/>
      <c r="HQU27" s="85"/>
      <c r="HQV27" s="85"/>
      <c r="HQW27" s="85"/>
      <c r="HQX27" s="85"/>
      <c r="HQY27" s="85"/>
      <c r="HQZ27" s="85"/>
      <c r="HRA27" s="85"/>
      <c r="HRB27" s="85"/>
      <c r="HRC27" s="85"/>
      <c r="HRD27" s="85"/>
      <c r="HRE27" s="85"/>
      <c r="HRF27" s="85"/>
      <c r="HRG27" s="85"/>
      <c r="HRH27" s="85"/>
      <c r="HRI27" s="85"/>
      <c r="HRJ27" s="85"/>
      <c r="HRK27" s="85"/>
      <c r="HRL27" s="85"/>
      <c r="HRM27" s="85"/>
      <c r="HRN27" s="85"/>
      <c r="HRO27" s="85"/>
      <c r="HRP27" s="85"/>
      <c r="HRQ27" s="85"/>
      <c r="HRR27" s="85"/>
      <c r="HRS27" s="85"/>
      <c r="HRT27" s="85"/>
      <c r="HRU27" s="85"/>
      <c r="HRV27" s="85"/>
      <c r="HRW27" s="85"/>
      <c r="HRX27" s="85"/>
      <c r="HRY27" s="85"/>
      <c r="HRZ27" s="85"/>
      <c r="HSA27" s="85"/>
      <c r="HSB27" s="85"/>
      <c r="HSC27" s="85"/>
      <c r="HSD27" s="85"/>
      <c r="HSE27" s="85"/>
      <c r="HSF27" s="85"/>
      <c r="HSG27" s="85"/>
      <c r="HSH27" s="85"/>
      <c r="HSI27" s="85"/>
      <c r="HSJ27" s="85"/>
      <c r="HSK27" s="85"/>
      <c r="HSL27" s="85"/>
      <c r="HSM27" s="85"/>
      <c r="HSN27" s="85"/>
      <c r="HSO27" s="85"/>
      <c r="HSP27" s="85"/>
      <c r="HSQ27" s="85"/>
      <c r="HSR27" s="85"/>
      <c r="HSS27" s="85"/>
      <c r="HST27" s="85"/>
      <c r="HSU27" s="85"/>
      <c r="HSV27" s="85"/>
      <c r="HSW27" s="85"/>
      <c r="HSX27" s="85"/>
      <c r="HSY27" s="85"/>
      <c r="HSZ27" s="85"/>
      <c r="HTA27" s="85"/>
      <c r="HTB27" s="85"/>
      <c r="HTC27" s="85"/>
      <c r="HTD27" s="85"/>
      <c r="HTE27" s="85"/>
      <c r="HTF27" s="85"/>
      <c r="HTG27" s="85"/>
      <c r="HTH27" s="85"/>
      <c r="HTI27" s="85"/>
      <c r="HTJ27" s="85"/>
      <c r="HTK27" s="85"/>
      <c r="HTL27" s="85"/>
      <c r="HTM27" s="85"/>
      <c r="HTN27" s="85"/>
      <c r="HTO27" s="85"/>
      <c r="HTP27" s="85"/>
      <c r="HTQ27" s="85"/>
      <c r="HTR27" s="85"/>
      <c r="HTS27" s="85"/>
      <c r="HTT27" s="85"/>
      <c r="HTU27" s="85"/>
      <c r="HTV27" s="85"/>
      <c r="HTW27" s="85"/>
      <c r="HTX27" s="85"/>
      <c r="HTY27" s="85"/>
      <c r="HTZ27" s="85"/>
      <c r="HUA27" s="85"/>
      <c r="HUB27" s="85"/>
      <c r="HUC27" s="85"/>
      <c r="HUD27" s="85"/>
      <c r="HUE27" s="85"/>
      <c r="HUF27" s="85"/>
      <c r="HUG27" s="85"/>
      <c r="HUH27" s="85"/>
      <c r="HUI27" s="85"/>
      <c r="HUJ27" s="85"/>
      <c r="HUK27" s="85"/>
      <c r="HUL27" s="85"/>
      <c r="HUM27" s="85"/>
      <c r="HUN27" s="85"/>
      <c r="HUO27" s="85"/>
      <c r="HUP27" s="85"/>
      <c r="HUQ27" s="85"/>
      <c r="HUR27" s="85"/>
      <c r="HUS27" s="85"/>
      <c r="HUT27" s="85"/>
      <c r="HUU27" s="85"/>
      <c r="HUV27" s="85"/>
      <c r="HUW27" s="85"/>
      <c r="HUX27" s="85"/>
      <c r="HUY27" s="85"/>
      <c r="HUZ27" s="85"/>
      <c r="HVA27" s="85"/>
      <c r="HVB27" s="85"/>
      <c r="HVC27" s="85"/>
      <c r="HVD27" s="85"/>
      <c r="HVE27" s="85"/>
      <c r="HVF27" s="85"/>
      <c r="HVG27" s="85"/>
      <c r="HVH27" s="85"/>
      <c r="HVI27" s="85"/>
      <c r="HVJ27" s="85"/>
      <c r="HVK27" s="85"/>
      <c r="HVL27" s="85"/>
      <c r="HVM27" s="85"/>
      <c r="HVN27" s="85"/>
      <c r="HVO27" s="85"/>
      <c r="HVP27" s="85"/>
      <c r="HVQ27" s="85"/>
      <c r="HVR27" s="85"/>
      <c r="HVS27" s="85"/>
      <c r="HVT27" s="85"/>
      <c r="HVU27" s="85"/>
      <c r="HVV27" s="85"/>
      <c r="HVW27" s="85"/>
      <c r="HVX27" s="85"/>
      <c r="HVY27" s="85"/>
      <c r="HVZ27" s="85"/>
      <c r="HWA27" s="85"/>
      <c r="HWB27" s="85"/>
      <c r="HWC27" s="85"/>
      <c r="HWD27" s="85"/>
      <c r="HWE27" s="85"/>
      <c r="HWF27" s="85"/>
      <c r="HWG27" s="85"/>
      <c r="HWH27" s="85"/>
      <c r="HWI27" s="85"/>
      <c r="HWJ27" s="85"/>
      <c r="HWK27" s="85"/>
      <c r="HWL27" s="85"/>
      <c r="HWM27" s="85"/>
      <c r="HWN27" s="85"/>
      <c r="HWO27" s="85"/>
      <c r="HWP27" s="85"/>
      <c r="HWQ27" s="85"/>
      <c r="HWR27" s="85"/>
      <c r="HWS27" s="85"/>
      <c r="HWT27" s="85"/>
      <c r="HWU27" s="85"/>
      <c r="HWV27" s="85"/>
      <c r="HWW27" s="85"/>
      <c r="HWX27" s="85"/>
      <c r="HWY27" s="85"/>
      <c r="HWZ27" s="85"/>
      <c r="HXA27" s="85"/>
      <c r="HXB27" s="85"/>
      <c r="HXC27" s="85"/>
      <c r="HXD27" s="85"/>
      <c r="HXE27" s="85"/>
      <c r="HXF27" s="85"/>
      <c r="HXG27" s="85"/>
      <c r="HXH27" s="85"/>
      <c r="HXI27" s="85"/>
      <c r="HXJ27" s="85"/>
      <c r="HXK27" s="85"/>
      <c r="HXL27" s="85"/>
      <c r="HXM27" s="85"/>
      <c r="HXN27" s="85"/>
      <c r="HXO27" s="85"/>
      <c r="HXP27" s="85"/>
      <c r="HXQ27" s="85"/>
      <c r="HXR27" s="85"/>
      <c r="HXS27" s="85"/>
      <c r="HXT27" s="85"/>
      <c r="HXU27" s="85"/>
      <c r="HXV27" s="85"/>
      <c r="HXW27" s="85"/>
      <c r="HXX27" s="85"/>
      <c r="HXY27" s="85"/>
      <c r="HXZ27" s="85"/>
      <c r="HYA27" s="85"/>
      <c r="HYB27" s="85"/>
      <c r="HYC27" s="85"/>
      <c r="HYD27" s="85"/>
      <c r="HYE27" s="85"/>
      <c r="HYF27" s="85"/>
      <c r="HYG27" s="85"/>
      <c r="HYH27" s="85"/>
      <c r="HYI27" s="85"/>
      <c r="HYJ27" s="85"/>
      <c r="HYK27" s="85"/>
      <c r="HYL27" s="85"/>
      <c r="HYM27" s="85"/>
      <c r="HYN27" s="85"/>
      <c r="HYO27" s="85"/>
      <c r="HYP27" s="85"/>
      <c r="HYQ27" s="85"/>
      <c r="HYR27" s="85"/>
      <c r="HYS27" s="85"/>
      <c r="HYT27" s="85"/>
      <c r="HYU27" s="85"/>
      <c r="HYV27" s="85"/>
      <c r="HYW27" s="85"/>
      <c r="HYX27" s="85"/>
      <c r="HYY27" s="85"/>
      <c r="HYZ27" s="85"/>
      <c r="HZA27" s="85"/>
      <c r="HZB27" s="85"/>
      <c r="HZC27" s="85"/>
      <c r="HZD27" s="85"/>
      <c r="HZE27" s="85"/>
      <c r="HZF27" s="85"/>
      <c r="HZG27" s="85"/>
      <c r="HZH27" s="85"/>
      <c r="HZI27" s="85"/>
      <c r="HZJ27" s="85"/>
      <c r="HZK27" s="85"/>
      <c r="HZL27" s="85"/>
      <c r="HZM27" s="85"/>
      <c r="HZN27" s="85"/>
      <c r="HZO27" s="85"/>
      <c r="HZP27" s="85"/>
      <c r="HZQ27" s="85"/>
      <c r="HZR27" s="85"/>
      <c r="HZS27" s="85"/>
      <c r="HZT27" s="85"/>
      <c r="HZU27" s="85"/>
      <c r="HZV27" s="85"/>
      <c r="HZW27" s="85"/>
      <c r="HZX27" s="85"/>
      <c r="HZY27" s="85"/>
      <c r="HZZ27" s="85"/>
      <c r="IAA27" s="85"/>
      <c r="IAB27" s="85"/>
      <c r="IAC27" s="85"/>
      <c r="IAD27" s="85"/>
      <c r="IAE27" s="85"/>
      <c r="IAF27" s="85"/>
      <c r="IAG27" s="85"/>
      <c r="IAH27" s="85"/>
      <c r="IAI27" s="85"/>
      <c r="IAJ27" s="85"/>
      <c r="IAK27" s="85"/>
      <c r="IAL27" s="85"/>
      <c r="IAM27" s="85"/>
      <c r="IAN27" s="85"/>
      <c r="IAO27" s="85"/>
      <c r="IAP27" s="85"/>
      <c r="IAQ27" s="85"/>
      <c r="IAR27" s="85"/>
      <c r="IAS27" s="85"/>
      <c r="IAT27" s="85"/>
      <c r="IAU27" s="85"/>
      <c r="IAV27" s="85"/>
      <c r="IAW27" s="85"/>
      <c r="IAX27" s="85"/>
      <c r="IAY27" s="85"/>
      <c r="IAZ27" s="85"/>
      <c r="IBA27" s="85"/>
      <c r="IBB27" s="85"/>
      <c r="IBC27" s="85"/>
      <c r="IBD27" s="85"/>
      <c r="IBE27" s="85"/>
      <c r="IBF27" s="85"/>
      <c r="IBG27" s="85"/>
      <c r="IBH27" s="85"/>
      <c r="IBI27" s="85"/>
      <c r="IBJ27" s="85"/>
      <c r="IBK27" s="85"/>
      <c r="IBL27" s="85"/>
      <c r="IBM27" s="85"/>
      <c r="IBN27" s="85"/>
      <c r="IBO27" s="85"/>
      <c r="IBP27" s="85"/>
      <c r="IBQ27" s="85"/>
      <c r="IBR27" s="85"/>
      <c r="IBS27" s="85"/>
      <c r="IBT27" s="85"/>
      <c r="IBU27" s="85"/>
      <c r="IBV27" s="85"/>
      <c r="IBW27" s="85"/>
      <c r="IBX27" s="85"/>
      <c r="IBY27" s="85"/>
      <c r="IBZ27" s="85"/>
      <c r="ICA27" s="85"/>
      <c r="ICB27" s="85"/>
      <c r="ICC27" s="85"/>
      <c r="ICD27" s="85"/>
      <c r="ICE27" s="85"/>
      <c r="ICF27" s="85"/>
      <c r="ICG27" s="85"/>
      <c r="ICH27" s="85"/>
      <c r="ICI27" s="85"/>
      <c r="ICJ27" s="85"/>
      <c r="ICK27" s="85"/>
      <c r="ICL27" s="85"/>
      <c r="ICM27" s="85"/>
      <c r="ICN27" s="85"/>
      <c r="ICO27" s="85"/>
      <c r="ICP27" s="85"/>
      <c r="ICQ27" s="85"/>
      <c r="ICR27" s="85"/>
      <c r="ICS27" s="85"/>
      <c r="ICT27" s="85"/>
      <c r="ICU27" s="85"/>
      <c r="ICV27" s="85"/>
      <c r="ICW27" s="85"/>
      <c r="ICX27" s="85"/>
      <c r="ICY27" s="85"/>
      <c r="ICZ27" s="85"/>
      <c r="IDA27" s="85"/>
      <c r="IDB27" s="85"/>
      <c r="IDC27" s="85"/>
      <c r="IDD27" s="85"/>
      <c r="IDE27" s="85"/>
      <c r="IDF27" s="85"/>
      <c r="IDG27" s="85"/>
      <c r="IDH27" s="85"/>
      <c r="IDI27" s="85"/>
      <c r="IDJ27" s="85"/>
      <c r="IDK27" s="85"/>
      <c r="IDL27" s="85"/>
      <c r="IDM27" s="85"/>
      <c r="IDN27" s="85"/>
      <c r="IDO27" s="85"/>
      <c r="IDP27" s="85"/>
      <c r="IDQ27" s="85"/>
      <c r="IDR27" s="85"/>
      <c r="IDS27" s="85"/>
      <c r="IDT27" s="85"/>
      <c r="IDU27" s="85"/>
      <c r="IDV27" s="85"/>
      <c r="IDW27" s="85"/>
      <c r="IDX27" s="85"/>
      <c r="IDY27" s="85"/>
      <c r="IDZ27" s="85"/>
      <c r="IEA27" s="85"/>
      <c r="IEB27" s="85"/>
      <c r="IEC27" s="85"/>
      <c r="IED27" s="85"/>
      <c r="IEE27" s="85"/>
      <c r="IEF27" s="85"/>
      <c r="IEG27" s="85"/>
      <c r="IEH27" s="85"/>
      <c r="IEI27" s="85"/>
      <c r="IEJ27" s="85"/>
      <c r="IEK27" s="85"/>
      <c r="IEL27" s="85"/>
      <c r="IEM27" s="85"/>
      <c r="IEN27" s="85"/>
      <c r="IEO27" s="85"/>
      <c r="IEP27" s="85"/>
      <c r="IEQ27" s="85"/>
      <c r="IER27" s="85"/>
      <c r="IES27" s="85"/>
      <c r="IET27" s="85"/>
      <c r="IEU27" s="85"/>
      <c r="IEV27" s="85"/>
      <c r="IEW27" s="85"/>
      <c r="IEX27" s="85"/>
      <c r="IEY27" s="85"/>
      <c r="IEZ27" s="85"/>
      <c r="IFA27" s="85"/>
      <c r="IFB27" s="85"/>
      <c r="IFC27" s="85"/>
      <c r="IFD27" s="85"/>
      <c r="IFE27" s="85"/>
      <c r="IFF27" s="85"/>
      <c r="IFG27" s="85"/>
      <c r="IFH27" s="85"/>
      <c r="IFI27" s="85"/>
      <c r="IFJ27" s="85"/>
      <c r="IFK27" s="85"/>
      <c r="IFL27" s="85"/>
      <c r="IFM27" s="85"/>
      <c r="IFN27" s="85"/>
      <c r="IFO27" s="85"/>
      <c r="IFP27" s="85"/>
      <c r="IFQ27" s="85"/>
      <c r="IFR27" s="85"/>
      <c r="IFS27" s="85"/>
      <c r="IFT27" s="85"/>
      <c r="IFU27" s="85"/>
      <c r="IFV27" s="85"/>
      <c r="IFW27" s="85"/>
      <c r="IFX27" s="85"/>
      <c r="IFY27" s="85"/>
      <c r="IFZ27" s="85"/>
      <c r="IGA27" s="85"/>
      <c r="IGB27" s="85"/>
      <c r="IGC27" s="85"/>
      <c r="IGD27" s="85"/>
      <c r="IGE27" s="85"/>
      <c r="IGF27" s="85"/>
      <c r="IGG27" s="85"/>
      <c r="IGH27" s="85"/>
      <c r="IGI27" s="85"/>
      <c r="IGJ27" s="85"/>
      <c r="IGK27" s="85"/>
      <c r="IGL27" s="85"/>
      <c r="IGM27" s="85"/>
      <c r="IGN27" s="85"/>
      <c r="IGO27" s="85"/>
      <c r="IGP27" s="85"/>
      <c r="IGQ27" s="85"/>
      <c r="IGR27" s="85"/>
      <c r="IGS27" s="85"/>
      <c r="IGT27" s="85"/>
      <c r="IGU27" s="85"/>
      <c r="IGV27" s="85"/>
      <c r="IGW27" s="85"/>
      <c r="IGX27" s="85"/>
      <c r="IGY27" s="85"/>
      <c r="IGZ27" s="85"/>
      <c r="IHA27" s="85"/>
      <c r="IHB27" s="85"/>
      <c r="IHC27" s="85"/>
      <c r="IHD27" s="85"/>
      <c r="IHE27" s="85"/>
      <c r="IHF27" s="85"/>
      <c r="IHG27" s="85"/>
      <c r="IHH27" s="85"/>
      <c r="IHI27" s="85"/>
      <c r="IHJ27" s="85"/>
      <c r="IHK27" s="85"/>
      <c r="IHL27" s="85"/>
      <c r="IHM27" s="85"/>
      <c r="IHN27" s="85"/>
      <c r="IHO27" s="85"/>
      <c r="IHP27" s="85"/>
      <c r="IHQ27" s="85"/>
      <c r="IHR27" s="85"/>
      <c r="IHS27" s="85"/>
      <c r="IHT27" s="85"/>
      <c r="IHU27" s="85"/>
      <c r="IHV27" s="85"/>
      <c r="IHW27" s="85"/>
      <c r="IHX27" s="85"/>
      <c r="IHY27" s="85"/>
      <c r="IHZ27" s="85"/>
      <c r="IIA27" s="85"/>
      <c r="IIB27" s="85"/>
      <c r="IIC27" s="85"/>
      <c r="IID27" s="85"/>
      <c r="IIE27" s="85"/>
      <c r="IIF27" s="85"/>
      <c r="IIG27" s="85"/>
      <c r="IIH27" s="85"/>
      <c r="III27" s="85"/>
      <c r="IIJ27" s="85"/>
      <c r="IIK27" s="85"/>
      <c r="IIL27" s="85"/>
      <c r="IIM27" s="85"/>
      <c r="IIN27" s="85"/>
      <c r="IIO27" s="85"/>
      <c r="IIP27" s="85"/>
      <c r="IIQ27" s="85"/>
      <c r="IIR27" s="85"/>
      <c r="IIS27" s="85"/>
      <c r="IIT27" s="85"/>
      <c r="IIU27" s="85"/>
      <c r="IIV27" s="85"/>
      <c r="IIW27" s="85"/>
      <c r="IIX27" s="85"/>
      <c r="IIY27" s="85"/>
      <c r="IIZ27" s="85"/>
      <c r="IJA27" s="85"/>
      <c r="IJB27" s="85"/>
      <c r="IJC27" s="85"/>
      <c r="IJD27" s="85"/>
      <c r="IJE27" s="85"/>
      <c r="IJF27" s="85"/>
      <c r="IJG27" s="85"/>
      <c r="IJH27" s="85"/>
      <c r="IJI27" s="85"/>
      <c r="IJJ27" s="85"/>
      <c r="IJK27" s="85"/>
      <c r="IJL27" s="85"/>
      <c r="IJM27" s="85"/>
      <c r="IJN27" s="85"/>
      <c r="IJO27" s="85"/>
      <c r="IJP27" s="85"/>
      <c r="IJQ27" s="85"/>
      <c r="IJR27" s="85"/>
      <c r="IJS27" s="85"/>
      <c r="IJT27" s="85"/>
      <c r="IJU27" s="85"/>
      <c r="IJV27" s="85"/>
      <c r="IJW27" s="85"/>
      <c r="IJX27" s="85"/>
      <c r="IJY27" s="85"/>
      <c r="IJZ27" s="85"/>
      <c r="IKA27" s="85"/>
      <c r="IKB27" s="85"/>
      <c r="IKC27" s="85"/>
      <c r="IKD27" s="85"/>
      <c r="IKE27" s="85"/>
      <c r="IKF27" s="85"/>
      <c r="IKG27" s="85"/>
      <c r="IKH27" s="85"/>
      <c r="IKI27" s="85"/>
      <c r="IKJ27" s="85"/>
      <c r="IKK27" s="85"/>
      <c r="IKL27" s="85"/>
      <c r="IKM27" s="85"/>
      <c r="IKN27" s="85"/>
      <c r="IKO27" s="85"/>
      <c r="IKP27" s="85"/>
      <c r="IKQ27" s="85"/>
      <c r="IKR27" s="85"/>
      <c r="IKS27" s="85"/>
      <c r="IKT27" s="85"/>
      <c r="IKU27" s="85"/>
      <c r="IKV27" s="85"/>
      <c r="IKW27" s="85"/>
      <c r="IKX27" s="85"/>
      <c r="IKY27" s="85"/>
      <c r="IKZ27" s="85"/>
      <c r="ILA27" s="85"/>
      <c r="ILB27" s="85"/>
      <c r="ILC27" s="85"/>
      <c r="ILD27" s="85"/>
      <c r="ILE27" s="85"/>
      <c r="ILF27" s="85"/>
      <c r="ILG27" s="85"/>
      <c r="ILH27" s="85"/>
      <c r="ILI27" s="85"/>
      <c r="ILJ27" s="85"/>
      <c r="ILK27" s="85"/>
      <c r="ILL27" s="85"/>
      <c r="ILM27" s="85"/>
      <c r="ILN27" s="85"/>
      <c r="ILO27" s="85"/>
      <c r="ILP27" s="85"/>
      <c r="ILQ27" s="85"/>
      <c r="ILR27" s="85"/>
      <c r="ILS27" s="85"/>
      <c r="ILT27" s="85"/>
      <c r="ILU27" s="85"/>
      <c r="ILV27" s="85"/>
      <c r="ILW27" s="85"/>
      <c r="ILX27" s="85"/>
      <c r="ILY27" s="85"/>
      <c r="ILZ27" s="85"/>
      <c r="IMA27" s="85"/>
      <c r="IMB27" s="85"/>
      <c r="IMC27" s="85"/>
      <c r="IMD27" s="85"/>
      <c r="IME27" s="85"/>
      <c r="IMF27" s="85"/>
      <c r="IMG27" s="85"/>
      <c r="IMH27" s="85"/>
      <c r="IMI27" s="85"/>
      <c r="IMJ27" s="85"/>
      <c r="IMK27" s="85"/>
      <c r="IML27" s="85"/>
      <c r="IMM27" s="85"/>
      <c r="IMN27" s="85"/>
      <c r="IMO27" s="85"/>
      <c r="IMP27" s="85"/>
      <c r="IMQ27" s="85"/>
      <c r="IMR27" s="85"/>
      <c r="IMS27" s="85"/>
      <c r="IMT27" s="85"/>
      <c r="IMU27" s="85"/>
      <c r="IMV27" s="85"/>
      <c r="IMW27" s="85"/>
      <c r="IMX27" s="85"/>
      <c r="IMY27" s="85"/>
      <c r="IMZ27" s="85"/>
      <c r="INA27" s="85"/>
      <c r="INB27" s="85"/>
      <c r="INC27" s="85"/>
      <c r="IND27" s="85"/>
      <c r="INE27" s="85"/>
      <c r="INF27" s="85"/>
      <c r="ING27" s="85"/>
      <c r="INH27" s="85"/>
      <c r="INI27" s="85"/>
      <c r="INJ27" s="85"/>
      <c r="INK27" s="85"/>
      <c r="INL27" s="85"/>
      <c r="INM27" s="85"/>
      <c r="INN27" s="85"/>
      <c r="INO27" s="85"/>
      <c r="INP27" s="85"/>
      <c r="INQ27" s="85"/>
      <c r="INR27" s="85"/>
      <c r="INS27" s="85"/>
      <c r="INT27" s="85"/>
      <c r="INU27" s="85"/>
      <c r="INV27" s="85"/>
      <c r="INW27" s="85"/>
      <c r="INX27" s="85"/>
      <c r="INY27" s="85"/>
      <c r="INZ27" s="85"/>
      <c r="IOA27" s="85"/>
      <c r="IOB27" s="85"/>
      <c r="IOC27" s="85"/>
      <c r="IOD27" s="85"/>
      <c r="IOE27" s="85"/>
      <c r="IOF27" s="85"/>
      <c r="IOG27" s="85"/>
      <c r="IOH27" s="85"/>
      <c r="IOI27" s="85"/>
      <c r="IOJ27" s="85"/>
      <c r="IOK27" s="85"/>
      <c r="IOL27" s="85"/>
      <c r="IOM27" s="85"/>
      <c r="ION27" s="85"/>
      <c r="IOO27" s="85"/>
      <c r="IOP27" s="85"/>
      <c r="IOQ27" s="85"/>
      <c r="IOR27" s="85"/>
      <c r="IOS27" s="85"/>
      <c r="IOT27" s="85"/>
      <c r="IOU27" s="85"/>
      <c r="IOV27" s="85"/>
      <c r="IOW27" s="85"/>
      <c r="IOX27" s="85"/>
      <c r="IOY27" s="85"/>
      <c r="IOZ27" s="85"/>
      <c r="IPA27" s="85"/>
      <c r="IPB27" s="85"/>
      <c r="IPC27" s="85"/>
      <c r="IPD27" s="85"/>
      <c r="IPE27" s="85"/>
      <c r="IPF27" s="85"/>
      <c r="IPG27" s="85"/>
      <c r="IPH27" s="85"/>
      <c r="IPI27" s="85"/>
      <c r="IPJ27" s="85"/>
      <c r="IPK27" s="85"/>
      <c r="IPL27" s="85"/>
      <c r="IPM27" s="85"/>
      <c r="IPN27" s="85"/>
      <c r="IPO27" s="85"/>
      <c r="IPP27" s="85"/>
      <c r="IPQ27" s="85"/>
      <c r="IPR27" s="85"/>
      <c r="IPS27" s="85"/>
      <c r="IPT27" s="85"/>
      <c r="IPU27" s="85"/>
      <c r="IPV27" s="85"/>
      <c r="IPW27" s="85"/>
      <c r="IPX27" s="85"/>
      <c r="IPY27" s="85"/>
      <c r="IPZ27" s="85"/>
      <c r="IQA27" s="85"/>
      <c r="IQB27" s="85"/>
      <c r="IQC27" s="85"/>
      <c r="IQD27" s="85"/>
      <c r="IQE27" s="85"/>
      <c r="IQF27" s="85"/>
      <c r="IQG27" s="85"/>
      <c r="IQH27" s="85"/>
      <c r="IQI27" s="85"/>
      <c r="IQJ27" s="85"/>
      <c r="IQK27" s="85"/>
      <c r="IQL27" s="85"/>
      <c r="IQM27" s="85"/>
      <c r="IQN27" s="85"/>
      <c r="IQO27" s="85"/>
      <c r="IQP27" s="85"/>
      <c r="IQQ27" s="85"/>
      <c r="IQR27" s="85"/>
      <c r="IQS27" s="85"/>
      <c r="IQT27" s="85"/>
      <c r="IQU27" s="85"/>
      <c r="IQV27" s="85"/>
      <c r="IQW27" s="85"/>
      <c r="IQX27" s="85"/>
      <c r="IQY27" s="85"/>
      <c r="IQZ27" s="85"/>
      <c r="IRA27" s="85"/>
      <c r="IRB27" s="85"/>
      <c r="IRC27" s="85"/>
      <c r="IRD27" s="85"/>
      <c r="IRE27" s="85"/>
      <c r="IRF27" s="85"/>
      <c r="IRG27" s="85"/>
      <c r="IRH27" s="85"/>
      <c r="IRI27" s="85"/>
      <c r="IRJ27" s="85"/>
      <c r="IRK27" s="85"/>
      <c r="IRL27" s="85"/>
      <c r="IRM27" s="85"/>
      <c r="IRN27" s="85"/>
      <c r="IRO27" s="85"/>
      <c r="IRP27" s="85"/>
      <c r="IRQ27" s="85"/>
      <c r="IRR27" s="85"/>
      <c r="IRS27" s="85"/>
      <c r="IRT27" s="85"/>
      <c r="IRU27" s="85"/>
      <c r="IRV27" s="85"/>
      <c r="IRW27" s="85"/>
      <c r="IRX27" s="85"/>
      <c r="IRY27" s="85"/>
      <c r="IRZ27" s="85"/>
      <c r="ISA27" s="85"/>
      <c r="ISB27" s="85"/>
      <c r="ISC27" s="85"/>
      <c r="ISD27" s="85"/>
      <c r="ISE27" s="85"/>
      <c r="ISF27" s="85"/>
      <c r="ISG27" s="85"/>
      <c r="ISH27" s="85"/>
      <c r="ISI27" s="85"/>
      <c r="ISJ27" s="85"/>
      <c r="ISK27" s="85"/>
      <c r="ISL27" s="85"/>
      <c r="ISM27" s="85"/>
      <c r="ISN27" s="85"/>
      <c r="ISO27" s="85"/>
      <c r="ISP27" s="85"/>
      <c r="ISQ27" s="85"/>
      <c r="ISR27" s="85"/>
      <c r="ISS27" s="85"/>
      <c r="IST27" s="85"/>
      <c r="ISU27" s="85"/>
      <c r="ISV27" s="85"/>
      <c r="ISW27" s="85"/>
      <c r="ISX27" s="85"/>
      <c r="ISY27" s="85"/>
      <c r="ISZ27" s="85"/>
      <c r="ITA27" s="85"/>
      <c r="ITB27" s="85"/>
      <c r="ITC27" s="85"/>
      <c r="ITD27" s="85"/>
      <c r="ITE27" s="85"/>
      <c r="ITF27" s="85"/>
      <c r="ITG27" s="85"/>
      <c r="ITH27" s="85"/>
      <c r="ITI27" s="85"/>
      <c r="ITJ27" s="85"/>
      <c r="ITK27" s="85"/>
      <c r="ITL27" s="85"/>
      <c r="ITM27" s="85"/>
      <c r="ITN27" s="85"/>
      <c r="ITO27" s="85"/>
      <c r="ITP27" s="85"/>
      <c r="ITQ27" s="85"/>
      <c r="ITR27" s="85"/>
      <c r="ITS27" s="85"/>
      <c r="ITT27" s="85"/>
      <c r="ITU27" s="85"/>
      <c r="ITV27" s="85"/>
      <c r="ITW27" s="85"/>
      <c r="ITX27" s="85"/>
      <c r="ITY27" s="85"/>
      <c r="ITZ27" s="85"/>
      <c r="IUA27" s="85"/>
      <c r="IUB27" s="85"/>
      <c r="IUC27" s="85"/>
      <c r="IUD27" s="85"/>
      <c r="IUE27" s="85"/>
      <c r="IUF27" s="85"/>
      <c r="IUG27" s="85"/>
      <c r="IUH27" s="85"/>
      <c r="IUI27" s="85"/>
      <c r="IUJ27" s="85"/>
      <c r="IUK27" s="85"/>
      <c r="IUL27" s="85"/>
      <c r="IUM27" s="85"/>
      <c r="IUN27" s="85"/>
      <c r="IUO27" s="85"/>
      <c r="IUP27" s="85"/>
      <c r="IUQ27" s="85"/>
      <c r="IUR27" s="85"/>
      <c r="IUS27" s="85"/>
      <c r="IUT27" s="85"/>
      <c r="IUU27" s="85"/>
      <c r="IUV27" s="85"/>
      <c r="IUW27" s="85"/>
      <c r="IUX27" s="85"/>
      <c r="IUY27" s="85"/>
      <c r="IUZ27" s="85"/>
      <c r="IVA27" s="85"/>
      <c r="IVB27" s="85"/>
      <c r="IVC27" s="85"/>
      <c r="IVD27" s="85"/>
      <c r="IVE27" s="85"/>
      <c r="IVF27" s="85"/>
      <c r="IVG27" s="85"/>
      <c r="IVH27" s="85"/>
      <c r="IVI27" s="85"/>
      <c r="IVJ27" s="85"/>
      <c r="IVK27" s="85"/>
      <c r="IVL27" s="85"/>
      <c r="IVM27" s="85"/>
      <c r="IVN27" s="85"/>
      <c r="IVO27" s="85"/>
      <c r="IVP27" s="85"/>
      <c r="IVQ27" s="85"/>
      <c r="IVR27" s="85"/>
      <c r="IVS27" s="85"/>
      <c r="IVT27" s="85"/>
      <c r="IVU27" s="85"/>
      <c r="IVV27" s="85"/>
      <c r="IVW27" s="85"/>
      <c r="IVX27" s="85"/>
      <c r="IVY27" s="85"/>
      <c r="IVZ27" s="85"/>
      <c r="IWA27" s="85"/>
      <c r="IWB27" s="85"/>
      <c r="IWC27" s="85"/>
      <c r="IWD27" s="85"/>
      <c r="IWE27" s="85"/>
      <c r="IWF27" s="85"/>
      <c r="IWG27" s="85"/>
      <c r="IWH27" s="85"/>
      <c r="IWI27" s="85"/>
      <c r="IWJ27" s="85"/>
      <c r="IWK27" s="85"/>
      <c r="IWL27" s="85"/>
      <c r="IWM27" s="85"/>
      <c r="IWN27" s="85"/>
      <c r="IWO27" s="85"/>
      <c r="IWP27" s="85"/>
      <c r="IWQ27" s="85"/>
      <c r="IWR27" s="85"/>
      <c r="IWS27" s="85"/>
      <c r="IWT27" s="85"/>
      <c r="IWU27" s="85"/>
      <c r="IWV27" s="85"/>
      <c r="IWW27" s="85"/>
      <c r="IWX27" s="85"/>
      <c r="IWY27" s="85"/>
      <c r="IWZ27" s="85"/>
      <c r="IXA27" s="85"/>
      <c r="IXB27" s="85"/>
      <c r="IXC27" s="85"/>
      <c r="IXD27" s="85"/>
      <c r="IXE27" s="85"/>
      <c r="IXF27" s="85"/>
      <c r="IXG27" s="85"/>
      <c r="IXH27" s="85"/>
      <c r="IXI27" s="85"/>
      <c r="IXJ27" s="85"/>
      <c r="IXK27" s="85"/>
      <c r="IXL27" s="85"/>
      <c r="IXM27" s="85"/>
      <c r="IXN27" s="85"/>
      <c r="IXO27" s="85"/>
      <c r="IXP27" s="85"/>
      <c r="IXQ27" s="85"/>
      <c r="IXR27" s="85"/>
      <c r="IXS27" s="85"/>
      <c r="IXT27" s="85"/>
      <c r="IXU27" s="85"/>
      <c r="IXV27" s="85"/>
      <c r="IXW27" s="85"/>
      <c r="IXX27" s="85"/>
      <c r="IXY27" s="85"/>
      <c r="IXZ27" s="85"/>
      <c r="IYA27" s="85"/>
      <c r="IYB27" s="85"/>
      <c r="IYC27" s="85"/>
      <c r="IYD27" s="85"/>
      <c r="IYE27" s="85"/>
      <c r="IYF27" s="85"/>
      <c r="IYG27" s="85"/>
      <c r="IYH27" s="85"/>
      <c r="IYI27" s="85"/>
      <c r="IYJ27" s="85"/>
      <c r="IYK27" s="85"/>
      <c r="IYL27" s="85"/>
      <c r="IYM27" s="85"/>
      <c r="IYN27" s="85"/>
      <c r="IYO27" s="85"/>
      <c r="IYP27" s="85"/>
      <c r="IYQ27" s="85"/>
      <c r="IYR27" s="85"/>
      <c r="IYS27" s="85"/>
      <c r="IYT27" s="85"/>
      <c r="IYU27" s="85"/>
      <c r="IYV27" s="85"/>
      <c r="IYW27" s="85"/>
      <c r="IYX27" s="85"/>
      <c r="IYY27" s="85"/>
      <c r="IYZ27" s="85"/>
      <c r="IZA27" s="85"/>
      <c r="IZB27" s="85"/>
      <c r="IZC27" s="85"/>
      <c r="IZD27" s="85"/>
      <c r="IZE27" s="85"/>
      <c r="IZF27" s="85"/>
      <c r="IZG27" s="85"/>
      <c r="IZH27" s="85"/>
      <c r="IZI27" s="85"/>
      <c r="IZJ27" s="85"/>
      <c r="IZK27" s="85"/>
      <c r="IZL27" s="85"/>
      <c r="IZM27" s="85"/>
      <c r="IZN27" s="85"/>
      <c r="IZO27" s="85"/>
      <c r="IZP27" s="85"/>
      <c r="IZQ27" s="85"/>
      <c r="IZR27" s="85"/>
      <c r="IZS27" s="85"/>
      <c r="IZT27" s="85"/>
      <c r="IZU27" s="85"/>
      <c r="IZV27" s="85"/>
      <c r="IZW27" s="85"/>
      <c r="IZX27" s="85"/>
      <c r="IZY27" s="85"/>
      <c r="IZZ27" s="85"/>
      <c r="JAA27" s="85"/>
      <c r="JAB27" s="85"/>
      <c r="JAC27" s="85"/>
      <c r="JAD27" s="85"/>
      <c r="JAE27" s="85"/>
      <c r="JAF27" s="85"/>
      <c r="JAG27" s="85"/>
      <c r="JAH27" s="85"/>
      <c r="JAI27" s="85"/>
      <c r="JAJ27" s="85"/>
      <c r="JAK27" s="85"/>
      <c r="JAL27" s="85"/>
      <c r="JAM27" s="85"/>
      <c r="JAN27" s="85"/>
      <c r="JAO27" s="85"/>
      <c r="JAP27" s="85"/>
      <c r="JAQ27" s="85"/>
      <c r="JAR27" s="85"/>
      <c r="JAS27" s="85"/>
      <c r="JAT27" s="85"/>
      <c r="JAU27" s="85"/>
      <c r="JAV27" s="85"/>
      <c r="JAW27" s="85"/>
      <c r="JAX27" s="85"/>
      <c r="JAY27" s="85"/>
      <c r="JAZ27" s="85"/>
      <c r="JBA27" s="85"/>
      <c r="JBB27" s="85"/>
      <c r="JBC27" s="85"/>
      <c r="JBD27" s="85"/>
      <c r="JBE27" s="85"/>
      <c r="JBF27" s="85"/>
      <c r="JBG27" s="85"/>
      <c r="JBH27" s="85"/>
      <c r="JBI27" s="85"/>
      <c r="JBJ27" s="85"/>
      <c r="JBK27" s="85"/>
      <c r="JBL27" s="85"/>
      <c r="JBM27" s="85"/>
      <c r="JBN27" s="85"/>
      <c r="JBO27" s="85"/>
      <c r="JBP27" s="85"/>
      <c r="JBQ27" s="85"/>
      <c r="JBR27" s="85"/>
      <c r="JBS27" s="85"/>
      <c r="JBT27" s="85"/>
      <c r="JBU27" s="85"/>
      <c r="JBV27" s="85"/>
      <c r="JBW27" s="85"/>
      <c r="JBX27" s="85"/>
      <c r="JBY27" s="85"/>
      <c r="JBZ27" s="85"/>
      <c r="JCA27" s="85"/>
      <c r="JCB27" s="85"/>
      <c r="JCC27" s="85"/>
      <c r="JCD27" s="85"/>
      <c r="JCE27" s="85"/>
      <c r="JCF27" s="85"/>
      <c r="JCG27" s="85"/>
      <c r="JCH27" s="85"/>
      <c r="JCI27" s="85"/>
      <c r="JCJ27" s="85"/>
      <c r="JCK27" s="85"/>
      <c r="JCL27" s="85"/>
      <c r="JCM27" s="85"/>
      <c r="JCN27" s="85"/>
      <c r="JCO27" s="85"/>
      <c r="JCP27" s="85"/>
      <c r="JCQ27" s="85"/>
      <c r="JCR27" s="85"/>
      <c r="JCS27" s="85"/>
      <c r="JCT27" s="85"/>
      <c r="JCU27" s="85"/>
      <c r="JCV27" s="85"/>
      <c r="JCW27" s="85"/>
      <c r="JCX27" s="85"/>
      <c r="JCY27" s="85"/>
      <c r="JCZ27" s="85"/>
      <c r="JDA27" s="85"/>
      <c r="JDB27" s="85"/>
      <c r="JDC27" s="85"/>
      <c r="JDD27" s="85"/>
      <c r="JDE27" s="85"/>
      <c r="JDF27" s="85"/>
      <c r="JDG27" s="85"/>
      <c r="JDH27" s="85"/>
      <c r="JDI27" s="85"/>
      <c r="JDJ27" s="85"/>
      <c r="JDK27" s="85"/>
      <c r="JDL27" s="85"/>
      <c r="JDM27" s="85"/>
      <c r="JDN27" s="85"/>
      <c r="JDO27" s="85"/>
      <c r="JDP27" s="85"/>
      <c r="JDQ27" s="85"/>
      <c r="JDR27" s="85"/>
      <c r="JDS27" s="85"/>
      <c r="JDT27" s="85"/>
      <c r="JDU27" s="85"/>
      <c r="JDV27" s="85"/>
      <c r="JDW27" s="85"/>
      <c r="JDX27" s="85"/>
      <c r="JDY27" s="85"/>
      <c r="JDZ27" s="85"/>
      <c r="JEA27" s="85"/>
      <c r="JEB27" s="85"/>
      <c r="JEC27" s="85"/>
      <c r="JED27" s="85"/>
      <c r="JEE27" s="85"/>
      <c r="JEF27" s="85"/>
      <c r="JEG27" s="85"/>
      <c r="JEH27" s="85"/>
      <c r="JEI27" s="85"/>
      <c r="JEJ27" s="85"/>
      <c r="JEK27" s="85"/>
      <c r="JEL27" s="85"/>
      <c r="JEM27" s="85"/>
      <c r="JEN27" s="85"/>
      <c r="JEO27" s="85"/>
      <c r="JEP27" s="85"/>
      <c r="JEQ27" s="85"/>
      <c r="JER27" s="85"/>
      <c r="JES27" s="85"/>
      <c r="JET27" s="85"/>
      <c r="JEU27" s="85"/>
      <c r="JEV27" s="85"/>
      <c r="JEW27" s="85"/>
      <c r="JEX27" s="85"/>
      <c r="JEY27" s="85"/>
      <c r="JEZ27" s="85"/>
      <c r="JFA27" s="85"/>
      <c r="JFB27" s="85"/>
      <c r="JFC27" s="85"/>
      <c r="JFD27" s="85"/>
      <c r="JFE27" s="85"/>
      <c r="JFF27" s="85"/>
      <c r="JFG27" s="85"/>
      <c r="JFH27" s="85"/>
      <c r="JFI27" s="85"/>
      <c r="JFJ27" s="85"/>
      <c r="JFK27" s="85"/>
      <c r="JFL27" s="85"/>
      <c r="JFM27" s="85"/>
      <c r="JFN27" s="85"/>
      <c r="JFO27" s="85"/>
      <c r="JFP27" s="85"/>
      <c r="JFQ27" s="85"/>
      <c r="JFR27" s="85"/>
      <c r="JFS27" s="85"/>
      <c r="JFT27" s="85"/>
      <c r="JFU27" s="85"/>
      <c r="JFV27" s="85"/>
      <c r="JFW27" s="85"/>
      <c r="JFX27" s="85"/>
      <c r="JFY27" s="85"/>
      <c r="JFZ27" s="85"/>
      <c r="JGA27" s="85"/>
      <c r="JGB27" s="85"/>
      <c r="JGC27" s="85"/>
      <c r="JGD27" s="85"/>
      <c r="JGE27" s="85"/>
      <c r="JGF27" s="85"/>
      <c r="JGG27" s="85"/>
      <c r="JGH27" s="85"/>
      <c r="JGI27" s="85"/>
      <c r="JGJ27" s="85"/>
      <c r="JGK27" s="85"/>
      <c r="JGL27" s="85"/>
      <c r="JGM27" s="85"/>
      <c r="JGN27" s="85"/>
      <c r="JGO27" s="85"/>
      <c r="JGP27" s="85"/>
      <c r="JGQ27" s="85"/>
      <c r="JGR27" s="85"/>
      <c r="JGS27" s="85"/>
      <c r="JGT27" s="85"/>
      <c r="JGU27" s="85"/>
      <c r="JGV27" s="85"/>
      <c r="JGW27" s="85"/>
      <c r="JGX27" s="85"/>
      <c r="JGY27" s="85"/>
      <c r="JGZ27" s="85"/>
      <c r="JHA27" s="85"/>
      <c r="JHB27" s="85"/>
      <c r="JHC27" s="85"/>
      <c r="JHD27" s="85"/>
      <c r="JHE27" s="85"/>
      <c r="JHF27" s="85"/>
      <c r="JHG27" s="85"/>
      <c r="JHH27" s="85"/>
      <c r="JHI27" s="85"/>
      <c r="JHJ27" s="85"/>
      <c r="JHK27" s="85"/>
      <c r="JHL27" s="85"/>
      <c r="JHM27" s="85"/>
      <c r="JHN27" s="85"/>
      <c r="JHO27" s="85"/>
      <c r="JHP27" s="85"/>
      <c r="JHQ27" s="85"/>
      <c r="JHR27" s="85"/>
      <c r="JHS27" s="85"/>
      <c r="JHT27" s="85"/>
      <c r="JHU27" s="85"/>
      <c r="JHV27" s="85"/>
      <c r="JHW27" s="85"/>
      <c r="JHX27" s="85"/>
      <c r="JHY27" s="85"/>
      <c r="JHZ27" s="85"/>
      <c r="JIA27" s="85"/>
      <c r="JIB27" s="85"/>
      <c r="JIC27" s="85"/>
      <c r="JID27" s="85"/>
      <c r="JIE27" s="85"/>
      <c r="JIF27" s="85"/>
      <c r="JIG27" s="85"/>
      <c r="JIH27" s="85"/>
      <c r="JII27" s="85"/>
      <c r="JIJ27" s="85"/>
      <c r="JIK27" s="85"/>
      <c r="JIL27" s="85"/>
      <c r="JIM27" s="85"/>
      <c r="JIN27" s="85"/>
      <c r="JIO27" s="85"/>
      <c r="JIP27" s="85"/>
      <c r="JIQ27" s="85"/>
      <c r="JIR27" s="85"/>
      <c r="JIS27" s="85"/>
      <c r="JIT27" s="85"/>
      <c r="JIU27" s="85"/>
      <c r="JIV27" s="85"/>
      <c r="JIW27" s="85"/>
      <c r="JIX27" s="85"/>
      <c r="JIY27" s="85"/>
      <c r="JIZ27" s="85"/>
      <c r="JJA27" s="85"/>
      <c r="JJB27" s="85"/>
      <c r="JJC27" s="85"/>
      <c r="JJD27" s="85"/>
      <c r="JJE27" s="85"/>
      <c r="JJF27" s="85"/>
      <c r="JJG27" s="85"/>
      <c r="JJH27" s="85"/>
      <c r="JJI27" s="85"/>
      <c r="JJJ27" s="85"/>
      <c r="JJK27" s="85"/>
      <c r="JJL27" s="85"/>
      <c r="JJM27" s="85"/>
      <c r="JJN27" s="85"/>
      <c r="JJO27" s="85"/>
      <c r="JJP27" s="85"/>
      <c r="JJQ27" s="85"/>
      <c r="JJR27" s="85"/>
      <c r="JJS27" s="85"/>
      <c r="JJT27" s="85"/>
      <c r="JJU27" s="85"/>
      <c r="JJV27" s="85"/>
      <c r="JJW27" s="85"/>
      <c r="JJX27" s="85"/>
      <c r="JJY27" s="85"/>
      <c r="JJZ27" s="85"/>
      <c r="JKA27" s="85"/>
      <c r="JKB27" s="85"/>
      <c r="JKC27" s="85"/>
      <c r="JKD27" s="85"/>
      <c r="JKE27" s="85"/>
      <c r="JKF27" s="85"/>
      <c r="JKG27" s="85"/>
      <c r="JKH27" s="85"/>
      <c r="JKI27" s="85"/>
      <c r="JKJ27" s="85"/>
      <c r="JKK27" s="85"/>
      <c r="JKL27" s="85"/>
      <c r="JKM27" s="85"/>
      <c r="JKN27" s="85"/>
      <c r="JKO27" s="85"/>
      <c r="JKP27" s="85"/>
      <c r="JKQ27" s="85"/>
      <c r="JKR27" s="85"/>
      <c r="JKS27" s="85"/>
      <c r="JKT27" s="85"/>
      <c r="JKU27" s="85"/>
      <c r="JKV27" s="85"/>
      <c r="JKW27" s="85"/>
      <c r="JKX27" s="85"/>
      <c r="JKY27" s="85"/>
      <c r="JKZ27" s="85"/>
      <c r="JLA27" s="85"/>
      <c r="JLB27" s="85"/>
      <c r="JLC27" s="85"/>
      <c r="JLD27" s="85"/>
      <c r="JLE27" s="85"/>
      <c r="JLF27" s="85"/>
      <c r="JLG27" s="85"/>
      <c r="JLH27" s="85"/>
      <c r="JLI27" s="85"/>
      <c r="JLJ27" s="85"/>
      <c r="JLK27" s="85"/>
      <c r="JLL27" s="85"/>
      <c r="JLM27" s="85"/>
      <c r="JLN27" s="85"/>
      <c r="JLO27" s="85"/>
      <c r="JLP27" s="85"/>
      <c r="JLQ27" s="85"/>
      <c r="JLR27" s="85"/>
      <c r="JLS27" s="85"/>
      <c r="JLT27" s="85"/>
      <c r="JLU27" s="85"/>
      <c r="JLV27" s="85"/>
      <c r="JLW27" s="85"/>
      <c r="JLX27" s="85"/>
      <c r="JLY27" s="85"/>
      <c r="JLZ27" s="85"/>
      <c r="JMA27" s="85"/>
      <c r="JMB27" s="85"/>
      <c r="JMC27" s="85"/>
      <c r="JMD27" s="85"/>
      <c r="JME27" s="85"/>
      <c r="JMF27" s="85"/>
      <c r="JMG27" s="85"/>
      <c r="JMH27" s="85"/>
      <c r="JMI27" s="85"/>
      <c r="JMJ27" s="85"/>
      <c r="JMK27" s="85"/>
      <c r="JML27" s="85"/>
      <c r="JMM27" s="85"/>
      <c r="JMN27" s="85"/>
      <c r="JMO27" s="85"/>
      <c r="JMP27" s="85"/>
      <c r="JMQ27" s="85"/>
      <c r="JMR27" s="85"/>
      <c r="JMS27" s="85"/>
      <c r="JMT27" s="85"/>
      <c r="JMU27" s="85"/>
      <c r="JMV27" s="85"/>
      <c r="JMW27" s="85"/>
      <c r="JMX27" s="85"/>
      <c r="JMY27" s="85"/>
      <c r="JMZ27" s="85"/>
      <c r="JNA27" s="85"/>
      <c r="JNB27" s="85"/>
      <c r="JNC27" s="85"/>
      <c r="JND27" s="85"/>
      <c r="JNE27" s="85"/>
      <c r="JNF27" s="85"/>
      <c r="JNG27" s="85"/>
      <c r="JNH27" s="85"/>
      <c r="JNI27" s="85"/>
      <c r="JNJ27" s="85"/>
      <c r="JNK27" s="85"/>
      <c r="JNL27" s="85"/>
      <c r="JNM27" s="85"/>
      <c r="JNN27" s="85"/>
      <c r="JNO27" s="85"/>
      <c r="JNP27" s="85"/>
      <c r="JNQ27" s="85"/>
      <c r="JNR27" s="85"/>
      <c r="JNS27" s="85"/>
      <c r="JNT27" s="85"/>
      <c r="JNU27" s="85"/>
      <c r="JNV27" s="85"/>
      <c r="JNW27" s="85"/>
      <c r="JNX27" s="85"/>
      <c r="JNY27" s="85"/>
      <c r="JNZ27" s="85"/>
      <c r="JOA27" s="85"/>
      <c r="JOB27" s="85"/>
      <c r="JOC27" s="85"/>
      <c r="JOD27" s="85"/>
      <c r="JOE27" s="85"/>
      <c r="JOF27" s="85"/>
      <c r="JOG27" s="85"/>
      <c r="JOH27" s="85"/>
      <c r="JOI27" s="85"/>
      <c r="JOJ27" s="85"/>
      <c r="JOK27" s="85"/>
      <c r="JOL27" s="85"/>
      <c r="JOM27" s="85"/>
      <c r="JON27" s="85"/>
      <c r="JOO27" s="85"/>
      <c r="JOP27" s="85"/>
      <c r="JOQ27" s="85"/>
      <c r="JOR27" s="85"/>
      <c r="JOS27" s="85"/>
      <c r="JOT27" s="85"/>
      <c r="JOU27" s="85"/>
      <c r="JOV27" s="85"/>
      <c r="JOW27" s="85"/>
      <c r="JOX27" s="85"/>
      <c r="JOY27" s="85"/>
      <c r="JOZ27" s="85"/>
      <c r="JPA27" s="85"/>
      <c r="JPB27" s="85"/>
      <c r="JPC27" s="85"/>
      <c r="JPD27" s="85"/>
      <c r="JPE27" s="85"/>
      <c r="JPF27" s="85"/>
      <c r="JPG27" s="85"/>
      <c r="JPH27" s="85"/>
      <c r="JPI27" s="85"/>
      <c r="JPJ27" s="85"/>
      <c r="JPK27" s="85"/>
      <c r="JPL27" s="85"/>
      <c r="JPM27" s="85"/>
      <c r="JPN27" s="85"/>
      <c r="JPO27" s="85"/>
      <c r="JPP27" s="85"/>
      <c r="JPQ27" s="85"/>
      <c r="JPR27" s="85"/>
      <c r="JPS27" s="85"/>
      <c r="JPT27" s="85"/>
      <c r="JPU27" s="85"/>
      <c r="JPV27" s="85"/>
      <c r="JPW27" s="85"/>
      <c r="JPX27" s="85"/>
      <c r="JPY27" s="85"/>
      <c r="JPZ27" s="85"/>
      <c r="JQA27" s="85"/>
      <c r="JQB27" s="85"/>
      <c r="JQC27" s="85"/>
      <c r="JQD27" s="85"/>
      <c r="JQE27" s="85"/>
      <c r="JQF27" s="85"/>
      <c r="JQG27" s="85"/>
      <c r="JQH27" s="85"/>
      <c r="JQI27" s="85"/>
      <c r="JQJ27" s="85"/>
      <c r="JQK27" s="85"/>
      <c r="JQL27" s="85"/>
      <c r="JQM27" s="85"/>
      <c r="JQN27" s="85"/>
      <c r="JQO27" s="85"/>
      <c r="JQP27" s="85"/>
      <c r="JQQ27" s="85"/>
      <c r="JQR27" s="85"/>
      <c r="JQS27" s="85"/>
      <c r="JQT27" s="85"/>
      <c r="JQU27" s="85"/>
      <c r="JQV27" s="85"/>
      <c r="JQW27" s="85"/>
      <c r="JQX27" s="85"/>
      <c r="JQY27" s="85"/>
      <c r="JQZ27" s="85"/>
      <c r="JRA27" s="85"/>
      <c r="JRB27" s="85"/>
      <c r="JRC27" s="85"/>
      <c r="JRD27" s="85"/>
      <c r="JRE27" s="85"/>
      <c r="JRF27" s="85"/>
      <c r="JRG27" s="85"/>
      <c r="JRH27" s="85"/>
      <c r="JRI27" s="85"/>
      <c r="JRJ27" s="85"/>
      <c r="JRK27" s="85"/>
      <c r="JRL27" s="85"/>
      <c r="JRM27" s="85"/>
      <c r="JRN27" s="85"/>
      <c r="JRO27" s="85"/>
      <c r="JRP27" s="85"/>
      <c r="JRQ27" s="85"/>
      <c r="JRR27" s="85"/>
      <c r="JRS27" s="85"/>
      <c r="JRT27" s="85"/>
      <c r="JRU27" s="85"/>
      <c r="JRV27" s="85"/>
      <c r="JRW27" s="85"/>
      <c r="JRX27" s="85"/>
      <c r="JRY27" s="85"/>
      <c r="JRZ27" s="85"/>
      <c r="JSA27" s="85"/>
      <c r="JSB27" s="85"/>
      <c r="JSC27" s="85"/>
      <c r="JSD27" s="85"/>
      <c r="JSE27" s="85"/>
      <c r="JSF27" s="85"/>
      <c r="JSG27" s="85"/>
      <c r="JSH27" s="85"/>
      <c r="JSI27" s="85"/>
      <c r="JSJ27" s="85"/>
      <c r="JSK27" s="85"/>
      <c r="JSL27" s="85"/>
      <c r="JSM27" s="85"/>
      <c r="JSN27" s="85"/>
      <c r="JSO27" s="85"/>
      <c r="JSP27" s="85"/>
      <c r="JSQ27" s="85"/>
      <c r="JSR27" s="85"/>
      <c r="JSS27" s="85"/>
      <c r="JST27" s="85"/>
      <c r="JSU27" s="85"/>
      <c r="JSV27" s="85"/>
      <c r="JSW27" s="85"/>
      <c r="JSX27" s="85"/>
      <c r="JSY27" s="85"/>
      <c r="JSZ27" s="85"/>
      <c r="JTA27" s="85"/>
      <c r="JTB27" s="85"/>
      <c r="JTC27" s="85"/>
      <c r="JTD27" s="85"/>
      <c r="JTE27" s="85"/>
      <c r="JTF27" s="85"/>
      <c r="JTG27" s="85"/>
      <c r="JTH27" s="85"/>
      <c r="JTI27" s="85"/>
      <c r="JTJ27" s="85"/>
      <c r="JTK27" s="85"/>
      <c r="JTL27" s="85"/>
      <c r="JTM27" s="85"/>
      <c r="JTN27" s="85"/>
      <c r="JTO27" s="85"/>
      <c r="JTP27" s="85"/>
      <c r="JTQ27" s="85"/>
      <c r="JTR27" s="85"/>
      <c r="JTS27" s="85"/>
      <c r="JTT27" s="85"/>
      <c r="JTU27" s="85"/>
      <c r="JTV27" s="85"/>
      <c r="JTW27" s="85"/>
      <c r="JTX27" s="85"/>
      <c r="JTY27" s="85"/>
      <c r="JTZ27" s="85"/>
      <c r="JUA27" s="85"/>
      <c r="JUB27" s="85"/>
      <c r="JUC27" s="85"/>
      <c r="JUD27" s="85"/>
      <c r="JUE27" s="85"/>
      <c r="JUF27" s="85"/>
      <c r="JUG27" s="85"/>
      <c r="JUH27" s="85"/>
      <c r="JUI27" s="85"/>
      <c r="JUJ27" s="85"/>
      <c r="JUK27" s="85"/>
      <c r="JUL27" s="85"/>
      <c r="JUM27" s="85"/>
      <c r="JUN27" s="85"/>
      <c r="JUO27" s="85"/>
      <c r="JUP27" s="85"/>
      <c r="JUQ27" s="85"/>
      <c r="JUR27" s="85"/>
      <c r="JUS27" s="85"/>
      <c r="JUT27" s="85"/>
      <c r="JUU27" s="85"/>
      <c r="JUV27" s="85"/>
      <c r="JUW27" s="85"/>
      <c r="JUX27" s="85"/>
      <c r="JUY27" s="85"/>
      <c r="JUZ27" s="85"/>
      <c r="JVA27" s="85"/>
      <c r="JVB27" s="85"/>
      <c r="JVC27" s="85"/>
      <c r="JVD27" s="85"/>
      <c r="JVE27" s="85"/>
      <c r="JVF27" s="85"/>
      <c r="JVG27" s="85"/>
      <c r="JVH27" s="85"/>
      <c r="JVI27" s="85"/>
      <c r="JVJ27" s="85"/>
      <c r="JVK27" s="85"/>
      <c r="JVL27" s="85"/>
      <c r="JVM27" s="85"/>
      <c r="JVN27" s="85"/>
      <c r="JVO27" s="85"/>
      <c r="JVP27" s="85"/>
      <c r="JVQ27" s="85"/>
      <c r="JVR27" s="85"/>
      <c r="JVS27" s="85"/>
      <c r="JVT27" s="85"/>
      <c r="JVU27" s="85"/>
      <c r="JVV27" s="85"/>
      <c r="JVW27" s="85"/>
      <c r="JVX27" s="85"/>
      <c r="JVY27" s="85"/>
      <c r="JVZ27" s="85"/>
      <c r="JWA27" s="85"/>
      <c r="JWB27" s="85"/>
      <c r="JWC27" s="85"/>
      <c r="JWD27" s="85"/>
      <c r="JWE27" s="85"/>
      <c r="JWF27" s="85"/>
      <c r="JWG27" s="85"/>
      <c r="JWH27" s="85"/>
      <c r="JWI27" s="85"/>
      <c r="JWJ27" s="85"/>
      <c r="JWK27" s="85"/>
      <c r="JWL27" s="85"/>
      <c r="JWM27" s="85"/>
      <c r="JWN27" s="85"/>
      <c r="JWO27" s="85"/>
      <c r="JWP27" s="85"/>
      <c r="JWQ27" s="85"/>
      <c r="JWR27" s="85"/>
      <c r="JWS27" s="85"/>
      <c r="JWT27" s="85"/>
      <c r="JWU27" s="85"/>
      <c r="JWV27" s="85"/>
      <c r="JWW27" s="85"/>
      <c r="JWX27" s="85"/>
      <c r="JWY27" s="85"/>
      <c r="JWZ27" s="85"/>
      <c r="JXA27" s="85"/>
      <c r="JXB27" s="85"/>
      <c r="JXC27" s="85"/>
      <c r="JXD27" s="85"/>
      <c r="JXE27" s="85"/>
      <c r="JXF27" s="85"/>
      <c r="JXG27" s="85"/>
      <c r="JXH27" s="85"/>
      <c r="JXI27" s="85"/>
      <c r="JXJ27" s="85"/>
      <c r="JXK27" s="85"/>
      <c r="JXL27" s="85"/>
      <c r="JXM27" s="85"/>
      <c r="JXN27" s="85"/>
      <c r="JXO27" s="85"/>
      <c r="JXP27" s="85"/>
      <c r="JXQ27" s="85"/>
      <c r="JXR27" s="85"/>
      <c r="JXS27" s="85"/>
      <c r="JXT27" s="85"/>
      <c r="JXU27" s="85"/>
      <c r="JXV27" s="85"/>
      <c r="JXW27" s="85"/>
      <c r="JXX27" s="85"/>
      <c r="JXY27" s="85"/>
      <c r="JXZ27" s="85"/>
      <c r="JYA27" s="85"/>
      <c r="JYB27" s="85"/>
      <c r="JYC27" s="85"/>
      <c r="JYD27" s="85"/>
      <c r="JYE27" s="85"/>
      <c r="JYF27" s="85"/>
      <c r="JYG27" s="85"/>
      <c r="JYH27" s="85"/>
      <c r="JYI27" s="85"/>
      <c r="JYJ27" s="85"/>
      <c r="JYK27" s="85"/>
      <c r="JYL27" s="85"/>
      <c r="JYM27" s="85"/>
      <c r="JYN27" s="85"/>
      <c r="JYO27" s="85"/>
      <c r="JYP27" s="85"/>
      <c r="JYQ27" s="85"/>
      <c r="JYR27" s="85"/>
      <c r="JYS27" s="85"/>
      <c r="JYT27" s="85"/>
      <c r="JYU27" s="85"/>
      <c r="JYV27" s="85"/>
      <c r="JYW27" s="85"/>
      <c r="JYX27" s="85"/>
      <c r="JYY27" s="85"/>
      <c r="JYZ27" s="85"/>
      <c r="JZA27" s="85"/>
      <c r="JZB27" s="85"/>
      <c r="JZC27" s="85"/>
      <c r="JZD27" s="85"/>
      <c r="JZE27" s="85"/>
      <c r="JZF27" s="85"/>
      <c r="JZG27" s="85"/>
      <c r="JZH27" s="85"/>
      <c r="JZI27" s="85"/>
      <c r="JZJ27" s="85"/>
      <c r="JZK27" s="85"/>
      <c r="JZL27" s="85"/>
      <c r="JZM27" s="85"/>
      <c r="JZN27" s="85"/>
      <c r="JZO27" s="85"/>
      <c r="JZP27" s="85"/>
      <c r="JZQ27" s="85"/>
      <c r="JZR27" s="85"/>
      <c r="JZS27" s="85"/>
      <c r="JZT27" s="85"/>
      <c r="JZU27" s="85"/>
      <c r="JZV27" s="85"/>
      <c r="JZW27" s="85"/>
      <c r="JZX27" s="85"/>
      <c r="JZY27" s="85"/>
      <c r="JZZ27" s="85"/>
      <c r="KAA27" s="85"/>
      <c r="KAB27" s="85"/>
      <c r="KAC27" s="85"/>
      <c r="KAD27" s="85"/>
      <c r="KAE27" s="85"/>
      <c r="KAF27" s="85"/>
      <c r="KAG27" s="85"/>
      <c r="KAH27" s="85"/>
      <c r="KAI27" s="85"/>
      <c r="KAJ27" s="85"/>
      <c r="KAK27" s="85"/>
      <c r="KAL27" s="85"/>
      <c r="KAM27" s="85"/>
      <c r="KAN27" s="85"/>
      <c r="KAO27" s="85"/>
      <c r="KAP27" s="85"/>
      <c r="KAQ27" s="85"/>
      <c r="KAR27" s="85"/>
      <c r="KAS27" s="85"/>
      <c r="KAT27" s="85"/>
      <c r="KAU27" s="85"/>
      <c r="KAV27" s="85"/>
      <c r="KAW27" s="85"/>
      <c r="KAX27" s="85"/>
      <c r="KAY27" s="85"/>
      <c r="KAZ27" s="85"/>
      <c r="KBA27" s="85"/>
      <c r="KBB27" s="85"/>
      <c r="KBC27" s="85"/>
      <c r="KBD27" s="85"/>
      <c r="KBE27" s="85"/>
      <c r="KBF27" s="85"/>
      <c r="KBG27" s="85"/>
      <c r="KBH27" s="85"/>
      <c r="KBI27" s="85"/>
      <c r="KBJ27" s="85"/>
      <c r="KBK27" s="85"/>
      <c r="KBL27" s="85"/>
      <c r="KBM27" s="85"/>
      <c r="KBN27" s="85"/>
      <c r="KBO27" s="85"/>
      <c r="KBP27" s="85"/>
      <c r="KBQ27" s="85"/>
      <c r="KBR27" s="85"/>
      <c r="KBS27" s="85"/>
      <c r="KBT27" s="85"/>
      <c r="KBU27" s="85"/>
      <c r="KBV27" s="85"/>
      <c r="KBW27" s="85"/>
      <c r="KBX27" s="85"/>
      <c r="KBY27" s="85"/>
      <c r="KBZ27" s="85"/>
      <c r="KCA27" s="85"/>
      <c r="KCB27" s="85"/>
      <c r="KCC27" s="85"/>
      <c r="KCD27" s="85"/>
      <c r="KCE27" s="85"/>
      <c r="KCF27" s="85"/>
      <c r="KCG27" s="85"/>
      <c r="KCH27" s="85"/>
      <c r="KCI27" s="85"/>
      <c r="KCJ27" s="85"/>
      <c r="KCK27" s="85"/>
      <c r="KCL27" s="85"/>
      <c r="KCM27" s="85"/>
      <c r="KCN27" s="85"/>
      <c r="KCO27" s="85"/>
      <c r="KCP27" s="85"/>
      <c r="KCQ27" s="85"/>
      <c r="KCR27" s="85"/>
      <c r="KCS27" s="85"/>
      <c r="KCT27" s="85"/>
      <c r="KCU27" s="85"/>
      <c r="KCV27" s="85"/>
      <c r="KCW27" s="85"/>
      <c r="KCX27" s="85"/>
      <c r="KCY27" s="85"/>
      <c r="KCZ27" s="85"/>
      <c r="KDA27" s="85"/>
      <c r="KDB27" s="85"/>
      <c r="KDC27" s="85"/>
      <c r="KDD27" s="85"/>
      <c r="KDE27" s="85"/>
      <c r="KDF27" s="85"/>
      <c r="KDG27" s="85"/>
      <c r="KDH27" s="85"/>
      <c r="KDI27" s="85"/>
      <c r="KDJ27" s="85"/>
      <c r="KDK27" s="85"/>
      <c r="KDL27" s="85"/>
      <c r="KDM27" s="85"/>
      <c r="KDN27" s="85"/>
      <c r="KDO27" s="85"/>
      <c r="KDP27" s="85"/>
      <c r="KDQ27" s="85"/>
      <c r="KDR27" s="85"/>
      <c r="KDS27" s="85"/>
      <c r="KDT27" s="85"/>
      <c r="KDU27" s="85"/>
      <c r="KDV27" s="85"/>
      <c r="KDW27" s="85"/>
      <c r="KDX27" s="85"/>
      <c r="KDY27" s="85"/>
      <c r="KDZ27" s="85"/>
      <c r="KEA27" s="85"/>
      <c r="KEB27" s="85"/>
      <c r="KEC27" s="85"/>
      <c r="KED27" s="85"/>
      <c r="KEE27" s="85"/>
      <c r="KEF27" s="85"/>
      <c r="KEG27" s="85"/>
      <c r="KEH27" s="85"/>
      <c r="KEI27" s="85"/>
      <c r="KEJ27" s="85"/>
      <c r="KEK27" s="85"/>
      <c r="KEL27" s="85"/>
      <c r="KEM27" s="85"/>
      <c r="KEN27" s="85"/>
      <c r="KEO27" s="85"/>
      <c r="KEP27" s="85"/>
      <c r="KEQ27" s="85"/>
      <c r="KER27" s="85"/>
      <c r="KES27" s="85"/>
      <c r="KET27" s="85"/>
      <c r="KEU27" s="85"/>
      <c r="KEV27" s="85"/>
      <c r="KEW27" s="85"/>
      <c r="KEX27" s="85"/>
      <c r="KEY27" s="85"/>
      <c r="KEZ27" s="85"/>
      <c r="KFA27" s="85"/>
      <c r="KFB27" s="85"/>
      <c r="KFC27" s="85"/>
      <c r="KFD27" s="85"/>
      <c r="KFE27" s="85"/>
      <c r="KFF27" s="85"/>
      <c r="KFG27" s="85"/>
      <c r="KFH27" s="85"/>
      <c r="KFI27" s="85"/>
      <c r="KFJ27" s="85"/>
      <c r="KFK27" s="85"/>
      <c r="KFL27" s="85"/>
      <c r="KFM27" s="85"/>
      <c r="KFN27" s="85"/>
      <c r="KFO27" s="85"/>
      <c r="KFP27" s="85"/>
      <c r="KFQ27" s="85"/>
      <c r="KFR27" s="85"/>
      <c r="KFS27" s="85"/>
      <c r="KFT27" s="85"/>
      <c r="KFU27" s="85"/>
      <c r="KFV27" s="85"/>
      <c r="KFW27" s="85"/>
      <c r="KFX27" s="85"/>
      <c r="KFY27" s="85"/>
      <c r="KFZ27" s="85"/>
      <c r="KGA27" s="85"/>
      <c r="KGB27" s="85"/>
      <c r="KGC27" s="85"/>
      <c r="KGD27" s="85"/>
      <c r="KGE27" s="85"/>
      <c r="KGF27" s="85"/>
      <c r="KGG27" s="85"/>
      <c r="KGH27" s="85"/>
      <c r="KGI27" s="85"/>
      <c r="KGJ27" s="85"/>
      <c r="KGK27" s="85"/>
      <c r="KGL27" s="85"/>
      <c r="KGM27" s="85"/>
      <c r="KGN27" s="85"/>
      <c r="KGO27" s="85"/>
      <c r="KGP27" s="85"/>
      <c r="KGQ27" s="85"/>
      <c r="KGR27" s="85"/>
      <c r="KGS27" s="85"/>
      <c r="KGT27" s="85"/>
      <c r="KGU27" s="85"/>
      <c r="KGV27" s="85"/>
      <c r="KGW27" s="85"/>
      <c r="KGX27" s="85"/>
      <c r="KGY27" s="85"/>
      <c r="KGZ27" s="85"/>
      <c r="KHA27" s="85"/>
      <c r="KHB27" s="85"/>
      <c r="KHC27" s="85"/>
      <c r="KHD27" s="85"/>
      <c r="KHE27" s="85"/>
      <c r="KHF27" s="85"/>
      <c r="KHG27" s="85"/>
      <c r="KHH27" s="85"/>
      <c r="KHI27" s="85"/>
      <c r="KHJ27" s="85"/>
      <c r="KHK27" s="85"/>
      <c r="KHL27" s="85"/>
      <c r="KHM27" s="85"/>
      <c r="KHN27" s="85"/>
      <c r="KHO27" s="85"/>
      <c r="KHP27" s="85"/>
      <c r="KHQ27" s="85"/>
      <c r="KHR27" s="85"/>
      <c r="KHS27" s="85"/>
      <c r="KHT27" s="85"/>
      <c r="KHU27" s="85"/>
      <c r="KHV27" s="85"/>
      <c r="KHW27" s="85"/>
      <c r="KHX27" s="85"/>
      <c r="KHY27" s="85"/>
      <c r="KHZ27" s="85"/>
      <c r="KIA27" s="85"/>
      <c r="KIB27" s="85"/>
      <c r="KIC27" s="85"/>
      <c r="KID27" s="85"/>
      <c r="KIE27" s="85"/>
      <c r="KIF27" s="85"/>
      <c r="KIG27" s="85"/>
      <c r="KIH27" s="85"/>
      <c r="KII27" s="85"/>
      <c r="KIJ27" s="85"/>
      <c r="KIK27" s="85"/>
      <c r="KIL27" s="85"/>
      <c r="KIM27" s="85"/>
      <c r="KIN27" s="85"/>
      <c r="KIO27" s="85"/>
      <c r="KIP27" s="85"/>
      <c r="KIQ27" s="85"/>
      <c r="KIR27" s="85"/>
      <c r="KIS27" s="85"/>
      <c r="KIT27" s="85"/>
      <c r="KIU27" s="85"/>
      <c r="KIV27" s="85"/>
      <c r="KIW27" s="85"/>
      <c r="KIX27" s="85"/>
      <c r="KIY27" s="85"/>
      <c r="KIZ27" s="85"/>
      <c r="KJA27" s="85"/>
      <c r="KJB27" s="85"/>
      <c r="KJC27" s="85"/>
      <c r="KJD27" s="85"/>
      <c r="KJE27" s="85"/>
      <c r="KJF27" s="85"/>
      <c r="KJG27" s="85"/>
      <c r="KJH27" s="85"/>
      <c r="KJI27" s="85"/>
      <c r="KJJ27" s="85"/>
      <c r="KJK27" s="85"/>
      <c r="KJL27" s="85"/>
      <c r="KJM27" s="85"/>
      <c r="KJN27" s="85"/>
      <c r="KJO27" s="85"/>
      <c r="KJP27" s="85"/>
      <c r="KJQ27" s="85"/>
      <c r="KJR27" s="85"/>
      <c r="KJS27" s="85"/>
      <c r="KJT27" s="85"/>
      <c r="KJU27" s="85"/>
      <c r="KJV27" s="85"/>
      <c r="KJW27" s="85"/>
      <c r="KJX27" s="85"/>
      <c r="KJY27" s="85"/>
      <c r="KJZ27" s="85"/>
      <c r="KKA27" s="85"/>
      <c r="KKB27" s="85"/>
      <c r="KKC27" s="85"/>
      <c r="KKD27" s="85"/>
      <c r="KKE27" s="85"/>
      <c r="KKF27" s="85"/>
      <c r="KKG27" s="85"/>
      <c r="KKH27" s="85"/>
      <c r="KKI27" s="85"/>
      <c r="KKJ27" s="85"/>
      <c r="KKK27" s="85"/>
      <c r="KKL27" s="85"/>
      <c r="KKM27" s="85"/>
      <c r="KKN27" s="85"/>
      <c r="KKO27" s="85"/>
      <c r="KKP27" s="85"/>
      <c r="KKQ27" s="85"/>
      <c r="KKR27" s="85"/>
      <c r="KKS27" s="85"/>
      <c r="KKT27" s="85"/>
      <c r="KKU27" s="85"/>
      <c r="KKV27" s="85"/>
      <c r="KKW27" s="85"/>
      <c r="KKX27" s="85"/>
      <c r="KKY27" s="85"/>
      <c r="KKZ27" s="85"/>
      <c r="KLA27" s="85"/>
      <c r="KLB27" s="85"/>
      <c r="KLC27" s="85"/>
      <c r="KLD27" s="85"/>
      <c r="KLE27" s="85"/>
      <c r="KLF27" s="85"/>
      <c r="KLG27" s="85"/>
      <c r="KLH27" s="85"/>
      <c r="KLI27" s="85"/>
      <c r="KLJ27" s="85"/>
      <c r="KLK27" s="85"/>
      <c r="KLL27" s="85"/>
      <c r="KLM27" s="85"/>
      <c r="KLN27" s="85"/>
      <c r="KLO27" s="85"/>
      <c r="KLP27" s="85"/>
      <c r="KLQ27" s="85"/>
      <c r="KLR27" s="85"/>
      <c r="KLS27" s="85"/>
      <c r="KLT27" s="85"/>
      <c r="KLU27" s="85"/>
      <c r="KLV27" s="85"/>
      <c r="KLW27" s="85"/>
      <c r="KLX27" s="85"/>
      <c r="KLY27" s="85"/>
      <c r="KLZ27" s="85"/>
      <c r="KMA27" s="85"/>
      <c r="KMB27" s="85"/>
      <c r="KMC27" s="85"/>
      <c r="KMD27" s="85"/>
      <c r="KME27" s="85"/>
      <c r="KMF27" s="85"/>
      <c r="KMG27" s="85"/>
      <c r="KMH27" s="85"/>
      <c r="KMI27" s="85"/>
      <c r="KMJ27" s="85"/>
      <c r="KMK27" s="85"/>
      <c r="KML27" s="85"/>
      <c r="KMM27" s="85"/>
      <c r="KMN27" s="85"/>
      <c r="KMO27" s="85"/>
      <c r="KMP27" s="85"/>
      <c r="KMQ27" s="85"/>
      <c r="KMR27" s="85"/>
      <c r="KMS27" s="85"/>
      <c r="KMT27" s="85"/>
      <c r="KMU27" s="85"/>
      <c r="KMV27" s="85"/>
      <c r="KMW27" s="85"/>
      <c r="KMX27" s="85"/>
      <c r="KMY27" s="85"/>
      <c r="KMZ27" s="85"/>
      <c r="KNA27" s="85"/>
      <c r="KNB27" s="85"/>
      <c r="KNC27" s="85"/>
      <c r="KND27" s="85"/>
      <c r="KNE27" s="85"/>
      <c r="KNF27" s="85"/>
      <c r="KNG27" s="85"/>
      <c r="KNH27" s="85"/>
      <c r="KNI27" s="85"/>
      <c r="KNJ27" s="85"/>
      <c r="KNK27" s="85"/>
      <c r="KNL27" s="85"/>
      <c r="KNM27" s="85"/>
      <c r="KNN27" s="85"/>
      <c r="KNO27" s="85"/>
      <c r="KNP27" s="85"/>
      <c r="KNQ27" s="85"/>
      <c r="KNR27" s="85"/>
      <c r="KNS27" s="85"/>
      <c r="KNT27" s="85"/>
      <c r="KNU27" s="85"/>
      <c r="KNV27" s="85"/>
      <c r="KNW27" s="85"/>
      <c r="KNX27" s="85"/>
      <c r="KNY27" s="85"/>
      <c r="KNZ27" s="85"/>
      <c r="KOA27" s="85"/>
      <c r="KOB27" s="85"/>
      <c r="KOC27" s="85"/>
      <c r="KOD27" s="85"/>
      <c r="KOE27" s="85"/>
      <c r="KOF27" s="85"/>
      <c r="KOG27" s="85"/>
      <c r="KOH27" s="85"/>
      <c r="KOI27" s="85"/>
      <c r="KOJ27" s="85"/>
      <c r="KOK27" s="85"/>
      <c r="KOL27" s="85"/>
      <c r="KOM27" s="85"/>
      <c r="KON27" s="85"/>
      <c r="KOO27" s="85"/>
      <c r="KOP27" s="85"/>
      <c r="KOQ27" s="85"/>
      <c r="KOR27" s="85"/>
      <c r="KOS27" s="85"/>
      <c r="KOT27" s="85"/>
      <c r="KOU27" s="85"/>
      <c r="KOV27" s="85"/>
      <c r="KOW27" s="85"/>
      <c r="KOX27" s="85"/>
      <c r="KOY27" s="85"/>
      <c r="KOZ27" s="85"/>
      <c r="KPA27" s="85"/>
      <c r="KPB27" s="85"/>
      <c r="KPC27" s="85"/>
      <c r="KPD27" s="85"/>
      <c r="KPE27" s="85"/>
      <c r="KPF27" s="85"/>
      <c r="KPG27" s="85"/>
      <c r="KPH27" s="85"/>
      <c r="KPI27" s="85"/>
      <c r="KPJ27" s="85"/>
      <c r="KPK27" s="85"/>
      <c r="KPL27" s="85"/>
      <c r="KPM27" s="85"/>
      <c r="KPN27" s="85"/>
      <c r="KPO27" s="85"/>
      <c r="KPP27" s="85"/>
      <c r="KPQ27" s="85"/>
      <c r="KPR27" s="85"/>
      <c r="KPS27" s="85"/>
      <c r="KPT27" s="85"/>
      <c r="KPU27" s="85"/>
      <c r="KPV27" s="85"/>
      <c r="KPW27" s="85"/>
      <c r="KPX27" s="85"/>
      <c r="KPY27" s="85"/>
      <c r="KPZ27" s="85"/>
      <c r="KQA27" s="85"/>
      <c r="KQB27" s="85"/>
      <c r="KQC27" s="85"/>
      <c r="KQD27" s="85"/>
      <c r="KQE27" s="85"/>
      <c r="KQF27" s="85"/>
      <c r="KQG27" s="85"/>
      <c r="KQH27" s="85"/>
      <c r="KQI27" s="85"/>
      <c r="KQJ27" s="85"/>
      <c r="KQK27" s="85"/>
      <c r="KQL27" s="85"/>
      <c r="KQM27" s="85"/>
      <c r="KQN27" s="85"/>
      <c r="KQO27" s="85"/>
      <c r="KQP27" s="85"/>
      <c r="KQQ27" s="85"/>
      <c r="KQR27" s="85"/>
      <c r="KQS27" s="85"/>
      <c r="KQT27" s="85"/>
      <c r="KQU27" s="85"/>
      <c r="KQV27" s="85"/>
      <c r="KQW27" s="85"/>
      <c r="KQX27" s="85"/>
      <c r="KQY27" s="85"/>
      <c r="KQZ27" s="85"/>
      <c r="KRA27" s="85"/>
      <c r="KRB27" s="85"/>
      <c r="KRC27" s="85"/>
      <c r="KRD27" s="85"/>
      <c r="KRE27" s="85"/>
      <c r="KRF27" s="85"/>
      <c r="KRG27" s="85"/>
      <c r="KRH27" s="85"/>
      <c r="KRI27" s="85"/>
      <c r="KRJ27" s="85"/>
      <c r="KRK27" s="85"/>
      <c r="KRL27" s="85"/>
      <c r="KRM27" s="85"/>
      <c r="KRN27" s="85"/>
      <c r="KRO27" s="85"/>
      <c r="KRP27" s="85"/>
      <c r="KRQ27" s="85"/>
      <c r="KRR27" s="85"/>
      <c r="KRS27" s="85"/>
      <c r="KRT27" s="85"/>
      <c r="KRU27" s="85"/>
      <c r="KRV27" s="85"/>
      <c r="KRW27" s="85"/>
      <c r="KRX27" s="85"/>
      <c r="KRY27" s="85"/>
      <c r="KRZ27" s="85"/>
      <c r="KSA27" s="85"/>
      <c r="KSB27" s="85"/>
      <c r="KSC27" s="85"/>
      <c r="KSD27" s="85"/>
      <c r="KSE27" s="85"/>
      <c r="KSF27" s="85"/>
      <c r="KSG27" s="85"/>
      <c r="KSH27" s="85"/>
      <c r="KSI27" s="85"/>
      <c r="KSJ27" s="85"/>
      <c r="KSK27" s="85"/>
      <c r="KSL27" s="85"/>
      <c r="KSM27" s="85"/>
      <c r="KSN27" s="85"/>
      <c r="KSO27" s="85"/>
      <c r="KSP27" s="85"/>
      <c r="KSQ27" s="85"/>
      <c r="KSR27" s="85"/>
      <c r="KSS27" s="85"/>
      <c r="KST27" s="85"/>
      <c r="KSU27" s="85"/>
      <c r="KSV27" s="85"/>
      <c r="KSW27" s="85"/>
      <c r="KSX27" s="85"/>
      <c r="KSY27" s="85"/>
      <c r="KSZ27" s="85"/>
      <c r="KTA27" s="85"/>
      <c r="KTB27" s="85"/>
      <c r="KTC27" s="85"/>
      <c r="KTD27" s="85"/>
      <c r="KTE27" s="85"/>
      <c r="KTF27" s="85"/>
      <c r="KTG27" s="85"/>
      <c r="KTH27" s="85"/>
      <c r="KTI27" s="85"/>
      <c r="KTJ27" s="85"/>
      <c r="KTK27" s="85"/>
      <c r="KTL27" s="85"/>
      <c r="KTM27" s="85"/>
      <c r="KTN27" s="85"/>
      <c r="KTO27" s="85"/>
      <c r="KTP27" s="85"/>
      <c r="KTQ27" s="85"/>
      <c r="KTR27" s="85"/>
      <c r="KTS27" s="85"/>
      <c r="KTT27" s="85"/>
      <c r="KTU27" s="85"/>
      <c r="KTV27" s="85"/>
      <c r="KTW27" s="85"/>
      <c r="KTX27" s="85"/>
      <c r="KTY27" s="85"/>
      <c r="KTZ27" s="85"/>
      <c r="KUA27" s="85"/>
      <c r="KUB27" s="85"/>
      <c r="KUC27" s="85"/>
      <c r="KUD27" s="85"/>
      <c r="KUE27" s="85"/>
      <c r="KUF27" s="85"/>
      <c r="KUG27" s="85"/>
      <c r="KUH27" s="85"/>
      <c r="KUI27" s="85"/>
      <c r="KUJ27" s="85"/>
      <c r="KUK27" s="85"/>
      <c r="KUL27" s="85"/>
      <c r="KUM27" s="85"/>
      <c r="KUN27" s="85"/>
      <c r="KUO27" s="85"/>
      <c r="KUP27" s="85"/>
      <c r="KUQ27" s="85"/>
      <c r="KUR27" s="85"/>
      <c r="KUS27" s="85"/>
      <c r="KUT27" s="85"/>
      <c r="KUU27" s="85"/>
      <c r="KUV27" s="85"/>
      <c r="KUW27" s="85"/>
      <c r="KUX27" s="85"/>
      <c r="KUY27" s="85"/>
      <c r="KUZ27" s="85"/>
      <c r="KVA27" s="85"/>
      <c r="KVB27" s="85"/>
      <c r="KVC27" s="85"/>
      <c r="KVD27" s="85"/>
      <c r="KVE27" s="85"/>
      <c r="KVF27" s="85"/>
      <c r="KVG27" s="85"/>
      <c r="KVH27" s="85"/>
      <c r="KVI27" s="85"/>
      <c r="KVJ27" s="85"/>
      <c r="KVK27" s="85"/>
      <c r="KVL27" s="85"/>
      <c r="KVM27" s="85"/>
      <c r="KVN27" s="85"/>
      <c r="KVO27" s="85"/>
      <c r="KVP27" s="85"/>
      <c r="KVQ27" s="85"/>
      <c r="KVR27" s="85"/>
      <c r="KVS27" s="85"/>
      <c r="KVT27" s="85"/>
      <c r="KVU27" s="85"/>
      <c r="KVV27" s="85"/>
      <c r="KVW27" s="85"/>
      <c r="KVX27" s="85"/>
      <c r="KVY27" s="85"/>
      <c r="KVZ27" s="85"/>
      <c r="KWA27" s="85"/>
      <c r="KWB27" s="85"/>
      <c r="KWC27" s="85"/>
      <c r="KWD27" s="85"/>
      <c r="KWE27" s="85"/>
      <c r="KWF27" s="85"/>
      <c r="KWG27" s="85"/>
      <c r="KWH27" s="85"/>
      <c r="KWI27" s="85"/>
      <c r="KWJ27" s="85"/>
      <c r="KWK27" s="85"/>
      <c r="KWL27" s="85"/>
      <c r="KWM27" s="85"/>
      <c r="KWN27" s="85"/>
      <c r="KWO27" s="85"/>
      <c r="KWP27" s="85"/>
      <c r="KWQ27" s="85"/>
      <c r="KWR27" s="85"/>
      <c r="KWS27" s="85"/>
      <c r="KWT27" s="85"/>
      <c r="KWU27" s="85"/>
      <c r="KWV27" s="85"/>
      <c r="KWW27" s="85"/>
      <c r="KWX27" s="85"/>
      <c r="KWY27" s="85"/>
      <c r="KWZ27" s="85"/>
      <c r="KXA27" s="85"/>
      <c r="KXB27" s="85"/>
      <c r="KXC27" s="85"/>
      <c r="KXD27" s="85"/>
      <c r="KXE27" s="85"/>
      <c r="KXF27" s="85"/>
      <c r="KXG27" s="85"/>
      <c r="KXH27" s="85"/>
      <c r="KXI27" s="85"/>
      <c r="KXJ27" s="85"/>
      <c r="KXK27" s="85"/>
      <c r="KXL27" s="85"/>
      <c r="KXM27" s="85"/>
      <c r="KXN27" s="85"/>
      <c r="KXO27" s="85"/>
      <c r="KXP27" s="85"/>
      <c r="KXQ27" s="85"/>
      <c r="KXR27" s="85"/>
      <c r="KXS27" s="85"/>
      <c r="KXT27" s="85"/>
      <c r="KXU27" s="85"/>
      <c r="KXV27" s="85"/>
      <c r="KXW27" s="85"/>
      <c r="KXX27" s="85"/>
      <c r="KXY27" s="85"/>
      <c r="KXZ27" s="85"/>
      <c r="KYA27" s="85"/>
      <c r="KYB27" s="85"/>
      <c r="KYC27" s="85"/>
      <c r="KYD27" s="85"/>
      <c r="KYE27" s="85"/>
      <c r="KYF27" s="85"/>
      <c r="KYG27" s="85"/>
      <c r="KYH27" s="85"/>
      <c r="KYI27" s="85"/>
      <c r="KYJ27" s="85"/>
      <c r="KYK27" s="85"/>
      <c r="KYL27" s="85"/>
      <c r="KYM27" s="85"/>
      <c r="KYN27" s="85"/>
      <c r="KYO27" s="85"/>
      <c r="KYP27" s="85"/>
      <c r="KYQ27" s="85"/>
      <c r="KYR27" s="85"/>
      <c r="KYS27" s="85"/>
      <c r="KYT27" s="85"/>
      <c r="KYU27" s="85"/>
      <c r="KYV27" s="85"/>
      <c r="KYW27" s="85"/>
      <c r="KYX27" s="85"/>
      <c r="KYY27" s="85"/>
      <c r="KYZ27" s="85"/>
      <c r="KZA27" s="85"/>
      <c r="KZB27" s="85"/>
      <c r="KZC27" s="85"/>
      <c r="KZD27" s="85"/>
      <c r="KZE27" s="85"/>
      <c r="KZF27" s="85"/>
      <c r="KZG27" s="85"/>
      <c r="KZH27" s="85"/>
      <c r="KZI27" s="85"/>
      <c r="KZJ27" s="85"/>
      <c r="KZK27" s="85"/>
      <c r="KZL27" s="85"/>
      <c r="KZM27" s="85"/>
      <c r="KZN27" s="85"/>
      <c r="KZO27" s="85"/>
      <c r="KZP27" s="85"/>
      <c r="KZQ27" s="85"/>
      <c r="KZR27" s="85"/>
      <c r="KZS27" s="85"/>
      <c r="KZT27" s="85"/>
      <c r="KZU27" s="85"/>
      <c r="KZV27" s="85"/>
      <c r="KZW27" s="85"/>
      <c r="KZX27" s="85"/>
      <c r="KZY27" s="85"/>
      <c r="KZZ27" s="85"/>
      <c r="LAA27" s="85"/>
      <c r="LAB27" s="85"/>
      <c r="LAC27" s="85"/>
      <c r="LAD27" s="85"/>
      <c r="LAE27" s="85"/>
      <c r="LAF27" s="85"/>
      <c r="LAG27" s="85"/>
      <c r="LAH27" s="85"/>
      <c r="LAI27" s="85"/>
      <c r="LAJ27" s="85"/>
      <c r="LAK27" s="85"/>
      <c r="LAL27" s="85"/>
      <c r="LAM27" s="85"/>
      <c r="LAN27" s="85"/>
      <c r="LAO27" s="85"/>
      <c r="LAP27" s="85"/>
      <c r="LAQ27" s="85"/>
      <c r="LAR27" s="85"/>
      <c r="LAS27" s="85"/>
      <c r="LAT27" s="85"/>
      <c r="LAU27" s="85"/>
      <c r="LAV27" s="85"/>
      <c r="LAW27" s="85"/>
      <c r="LAX27" s="85"/>
      <c r="LAY27" s="85"/>
      <c r="LAZ27" s="85"/>
      <c r="LBA27" s="85"/>
      <c r="LBB27" s="85"/>
      <c r="LBC27" s="85"/>
      <c r="LBD27" s="85"/>
      <c r="LBE27" s="85"/>
      <c r="LBF27" s="85"/>
      <c r="LBG27" s="85"/>
      <c r="LBH27" s="85"/>
      <c r="LBI27" s="85"/>
      <c r="LBJ27" s="85"/>
      <c r="LBK27" s="85"/>
      <c r="LBL27" s="85"/>
      <c r="LBM27" s="85"/>
      <c r="LBN27" s="85"/>
      <c r="LBO27" s="85"/>
      <c r="LBP27" s="85"/>
      <c r="LBQ27" s="85"/>
      <c r="LBR27" s="85"/>
      <c r="LBS27" s="85"/>
      <c r="LBT27" s="85"/>
      <c r="LBU27" s="85"/>
      <c r="LBV27" s="85"/>
      <c r="LBW27" s="85"/>
      <c r="LBX27" s="85"/>
      <c r="LBY27" s="85"/>
      <c r="LBZ27" s="85"/>
      <c r="LCA27" s="85"/>
      <c r="LCB27" s="85"/>
      <c r="LCC27" s="85"/>
      <c r="LCD27" s="85"/>
      <c r="LCE27" s="85"/>
      <c r="LCF27" s="85"/>
      <c r="LCG27" s="85"/>
      <c r="LCH27" s="85"/>
      <c r="LCI27" s="85"/>
      <c r="LCJ27" s="85"/>
      <c r="LCK27" s="85"/>
      <c r="LCL27" s="85"/>
      <c r="LCM27" s="85"/>
      <c r="LCN27" s="85"/>
      <c r="LCO27" s="85"/>
      <c r="LCP27" s="85"/>
      <c r="LCQ27" s="85"/>
      <c r="LCR27" s="85"/>
      <c r="LCS27" s="85"/>
      <c r="LCT27" s="85"/>
      <c r="LCU27" s="85"/>
      <c r="LCV27" s="85"/>
      <c r="LCW27" s="85"/>
      <c r="LCX27" s="85"/>
      <c r="LCY27" s="85"/>
      <c r="LCZ27" s="85"/>
      <c r="LDA27" s="85"/>
      <c r="LDB27" s="85"/>
      <c r="LDC27" s="85"/>
      <c r="LDD27" s="85"/>
      <c r="LDE27" s="85"/>
      <c r="LDF27" s="85"/>
      <c r="LDG27" s="85"/>
      <c r="LDH27" s="85"/>
      <c r="LDI27" s="85"/>
      <c r="LDJ27" s="85"/>
      <c r="LDK27" s="85"/>
      <c r="LDL27" s="85"/>
      <c r="LDM27" s="85"/>
      <c r="LDN27" s="85"/>
      <c r="LDO27" s="85"/>
      <c r="LDP27" s="85"/>
      <c r="LDQ27" s="85"/>
      <c r="LDR27" s="85"/>
      <c r="LDS27" s="85"/>
      <c r="LDT27" s="85"/>
      <c r="LDU27" s="85"/>
      <c r="LDV27" s="85"/>
      <c r="LDW27" s="85"/>
      <c r="LDX27" s="85"/>
      <c r="LDY27" s="85"/>
      <c r="LDZ27" s="85"/>
      <c r="LEA27" s="85"/>
      <c r="LEB27" s="85"/>
      <c r="LEC27" s="85"/>
      <c r="LED27" s="85"/>
      <c r="LEE27" s="85"/>
      <c r="LEF27" s="85"/>
      <c r="LEG27" s="85"/>
      <c r="LEH27" s="85"/>
      <c r="LEI27" s="85"/>
      <c r="LEJ27" s="85"/>
      <c r="LEK27" s="85"/>
      <c r="LEL27" s="85"/>
      <c r="LEM27" s="85"/>
      <c r="LEN27" s="85"/>
      <c r="LEO27" s="85"/>
      <c r="LEP27" s="85"/>
      <c r="LEQ27" s="85"/>
      <c r="LER27" s="85"/>
      <c r="LES27" s="85"/>
      <c r="LET27" s="85"/>
      <c r="LEU27" s="85"/>
      <c r="LEV27" s="85"/>
      <c r="LEW27" s="85"/>
      <c r="LEX27" s="85"/>
      <c r="LEY27" s="85"/>
      <c r="LEZ27" s="85"/>
      <c r="LFA27" s="85"/>
      <c r="LFB27" s="85"/>
      <c r="LFC27" s="85"/>
      <c r="LFD27" s="85"/>
      <c r="LFE27" s="85"/>
      <c r="LFF27" s="85"/>
      <c r="LFG27" s="85"/>
      <c r="LFH27" s="85"/>
      <c r="LFI27" s="85"/>
      <c r="LFJ27" s="85"/>
      <c r="LFK27" s="85"/>
      <c r="LFL27" s="85"/>
      <c r="LFM27" s="85"/>
      <c r="LFN27" s="85"/>
      <c r="LFO27" s="85"/>
      <c r="LFP27" s="85"/>
      <c r="LFQ27" s="85"/>
      <c r="LFR27" s="85"/>
      <c r="LFS27" s="85"/>
      <c r="LFT27" s="85"/>
      <c r="LFU27" s="85"/>
      <c r="LFV27" s="85"/>
      <c r="LFW27" s="85"/>
      <c r="LFX27" s="85"/>
      <c r="LFY27" s="85"/>
      <c r="LFZ27" s="85"/>
      <c r="LGA27" s="85"/>
      <c r="LGB27" s="85"/>
      <c r="LGC27" s="85"/>
      <c r="LGD27" s="85"/>
      <c r="LGE27" s="85"/>
      <c r="LGF27" s="85"/>
      <c r="LGG27" s="85"/>
      <c r="LGH27" s="85"/>
      <c r="LGI27" s="85"/>
      <c r="LGJ27" s="85"/>
      <c r="LGK27" s="85"/>
      <c r="LGL27" s="85"/>
      <c r="LGM27" s="85"/>
      <c r="LGN27" s="85"/>
      <c r="LGO27" s="85"/>
      <c r="LGP27" s="85"/>
      <c r="LGQ27" s="85"/>
      <c r="LGR27" s="85"/>
      <c r="LGS27" s="85"/>
      <c r="LGT27" s="85"/>
      <c r="LGU27" s="85"/>
      <c r="LGV27" s="85"/>
      <c r="LGW27" s="85"/>
      <c r="LGX27" s="85"/>
      <c r="LGY27" s="85"/>
      <c r="LGZ27" s="85"/>
      <c r="LHA27" s="85"/>
      <c r="LHB27" s="85"/>
      <c r="LHC27" s="85"/>
      <c r="LHD27" s="85"/>
      <c r="LHE27" s="85"/>
      <c r="LHF27" s="85"/>
      <c r="LHG27" s="85"/>
      <c r="LHH27" s="85"/>
      <c r="LHI27" s="85"/>
      <c r="LHJ27" s="85"/>
      <c r="LHK27" s="85"/>
      <c r="LHL27" s="85"/>
      <c r="LHM27" s="85"/>
      <c r="LHN27" s="85"/>
      <c r="LHO27" s="85"/>
      <c r="LHP27" s="85"/>
      <c r="LHQ27" s="85"/>
      <c r="LHR27" s="85"/>
      <c r="LHS27" s="85"/>
      <c r="LHT27" s="85"/>
      <c r="LHU27" s="85"/>
      <c r="LHV27" s="85"/>
      <c r="LHW27" s="85"/>
      <c r="LHX27" s="85"/>
      <c r="LHY27" s="85"/>
      <c r="LHZ27" s="85"/>
      <c r="LIA27" s="85"/>
      <c r="LIB27" s="85"/>
      <c r="LIC27" s="85"/>
      <c r="LID27" s="85"/>
      <c r="LIE27" s="85"/>
      <c r="LIF27" s="85"/>
      <c r="LIG27" s="85"/>
      <c r="LIH27" s="85"/>
      <c r="LII27" s="85"/>
      <c r="LIJ27" s="85"/>
      <c r="LIK27" s="85"/>
      <c r="LIL27" s="85"/>
      <c r="LIM27" s="85"/>
      <c r="LIN27" s="85"/>
      <c r="LIO27" s="85"/>
      <c r="LIP27" s="85"/>
      <c r="LIQ27" s="85"/>
      <c r="LIR27" s="85"/>
      <c r="LIS27" s="85"/>
      <c r="LIT27" s="85"/>
      <c r="LIU27" s="85"/>
      <c r="LIV27" s="85"/>
      <c r="LIW27" s="85"/>
      <c r="LIX27" s="85"/>
      <c r="LIY27" s="85"/>
      <c r="LIZ27" s="85"/>
      <c r="LJA27" s="85"/>
      <c r="LJB27" s="85"/>
      <c r="LJC27" s="85"/>
      <c r="LJD27" s="85"/>
      <c r="LJE27" s="85"/>
      <c r="LJF27" s="85"/>
      <c r="LJG27" s="85"/>
      <c r="LJH27" s="85"/>
      <c r="LJI27" s="85"/>
      <c r="LJJ27" s="85"/>
      <c r="LJK27" s="85"/>
      <c r="LJL27" s="85"/>
      <c r="LJM27" s="85"/>
      <c r="LJN27" s="85"/>
      <c r="LJO27" s="85"/>
      <c r="LJP27" s="85"/>
      <c r="LJQ27" s="85"/>
      <c r="LJR27" s="85"/>
      <c r="LJS27" s="85"/>
      <c r="LJT27" s="85"/>
      <c r="LJU27" s="85"/>
      <c r="LJV27" s="85"/>
      <c r="LJW27" s="85"/>
      <c r="LJX27" s="85"/>
      <c r="LJY27" s="85"/>
      <c r="LJZ27" s="85"/>
      <c r="LKA27" s="85"/>
      <c r="LKB27" s="85"/>
      <c r="LKC27" s="85"/>
      <c r="LKD27" s="85"/>
      <c r="LKE27" s="85"/>
      <c r="LKF27" s="85"/>
      <c r="LKG27" s="85"/>
      <c r="LKH27" s="85"/>
      <c r="LKI27" s="85"/>
      <c r="LKJ27" s="85"/>
      <c r="LKK27" s="85"/>
      <c r="LKL27" s="85"/>
      <c r="LKM27" s="85"/>
      <c r="LKN27" s="85"/>
      <c r="LKO27" s="85"/>
      <c r="LKP27" s="85"/>
      <c r="LKQ27" s="85"/>
      <c r="LKR27" s="85"/>
      <c r="LKS27" s="85"/>
      <c r="LKT27" s="85"/>
      <c r="LKU27" s="85"/>
      <c r="LKV27" s="85"/>
      <c r="LKW27" s="85"/>
      <c r="LKX27" s="85"/>
      <c r="LKY27" s="85"/>
      <c r="LKZ27" s="85"/>
      <c r="LLA27" s="85"/>
      <c r="LLB27" s="85"/>
      <c r="LLC27" s="85"/>
      <c r="LLD27" s="85"/>
      <c r="LLE27" s="85"/>
      <c r="LLF27" s="85"/>
      <c r="LLG27" s="85"/>
      <c r="LLH27" s="85"/>
      <c r="LLI27" s="85"/>
      <c r="LLJ27" s="85"/>
      <c r="LLK27" s="85"/>
      <c r="LLL27" s="85"/>
      <c r="LLM27" s="85"/>
      <c r="LLN27" s="85"/>
      <c r="LLO27" s="85"/>
      <c r="LLP27" s="85"/>
      <c r="LLQ27" s="85"/>
      <c r="LLR27" s="85"/>
      <c r="LLS27" s="85"/>
      <c r="LLT27" s="85"/>
      <c r="LLU27" s="85"/>
      <c r="LLV27" s="85"/>
      <c r="LLW27" s="85"/>
      <c r="LLX27" s="85"/>
      <c r="LLY27" s="85"/>
      <c r="LLZ27" s="85"/>
      <c r="LMA27" s="85"/>
      <c r="LMB27" s="85"/>
      <c r="LMC27" s="85"/>
      <c r="LMD27" s="85"/>
      <c r="LME27" s="85"/>
      <c r="LMF27" s="85"/>
      <c r="LMG27" s="85"/>
      <c r="LMH27" s="85"/>
      <c r="LMI27" s="85"/>
      <c r="LMJ27" s="85"/>
      <c r="LMK27" s="85"/>
      <c r="LML27" s="85"/>
      <c r="LMM27" s="85"/>
      <c r="LMN27" s="85"/>
      <c r="LMO27" s="85"/>
      <c r="LMP27" s="85"/>
      <c r="LMQ27" s="85"/>
      <c r="LMR27" s="85"/>
      <c r="LMS27" s="85"/>
      <c r="LMT27" s="85"/>
      <c r="LMU27" s="85"/>
      <c r="LMV27" s="85"/>
      <c r="LMW27" s="85"/>
      <c r="LMX27" s="85"/>
      <c r="LMY27" s="85"/>
      <c r="LMZ27" s="85"/>
      <c r="LNA27" s="85"/>
      <c r="LNB27" s="85"/>
      <c r="LNC27" s="85"/>
      <c r="LND27" s="85"/>
      <c r="LNE27" s="85"/>
      <c r="LNF27" s="85"/>
      <c r="LNG27" s="85"/>
      <c r="LNH27" s="85"/>
      <c r="LNI27" s="85"/>
      <c r="LNJ27" s="85"/>
      <c r="LNK27" s="85"/>
      <c r="LNL27" s="85"/>
      <c r="LNM27" s="85"/>
      <c r="LNN27" s="85"/>
      <c r="LNO27" s="85"/>
      <c r="LNP27" s="85"/>
      <c r="LNQ27" s="85"/>
      <c r="LNR27" s="85"/>
      <c r="LNS27" s="85"/>
      <c r="LNT27" s="85"/>
      <c r="LNU27" s="85"/>
      <c r="LNV27" s="85"/>
      <c r="LNW27" s="85"/>
      <c r="LNX27" s="85"/>
      <c r="LNY27" s="85"/>
      <c r="LNZ27" s="85"/>
      <c r="LOA27" s="85"/>
      <c r="LOB27" s="85"/>
      <c r="LOC27" s="85"/>
      <c r="LOD27" s="85"/>
      <c r="LOE27" s="85"/>
      <c r="LOF27" s="85"/>
      <c r="LOG27" s="85"/>
      <c r="LOH27" s="85"/>
      <c r="LOI27" s="85"/>
      <c r="LOJ27" s="85"/>
      <c r="LOK27" s="85"/>
      <c r="LOL27" s="85"/>
      <c r="LOM27" s="85"/>
      <c r="LON27" s="85"/>
      <c r="LOO27" s="85"/>
      <c r="LOP27" s="85"/>
      <c r="LOQ27" s="85"/>
      <c r="LOR27" s="85"/>
      <c r="LOS27" s="85"/>
      <c r="LOT27" s="85"/>
      <c r="LOU27" s="85"/>
      <c r="LOV27" s="85"/>
      <c r="LOW27" s="85"/>
      <c r="LOX27" s="85"/>
      <c r="LOY27" s="85"/>
      <c r="LOZ27" s="85"/>
      <c r="LPA27" s="85"/>
      <c r="LPB27" s="85"/>
      <c r="LPC27" s="85"/>
      <c r="LPD27" s="85"/>
      <c r="LPE27" s="85"/>
      <c r="LPF27" s="85"/>
      <c r="LPG27" s="85"/>
      <c r="LPH27" s="85"/>
      <c r="LPI27" s="85"/>
      <c r="LPJ27" s="85"/>
      <c r="LPK27" s="85"/>
      <c r="LPL27" s="85"/>
      <c r="LPM27" s="85"/>
      <c r="LPN27" s="85"/>
      <c r="LPO27" s="85"/>
      <c r="LPP27" s="85"/>
      <c r="LPQ27" s="85"/>
      <c r="LPR27" s="85"/>
      <c r="LPS27" s="85"/>
      <c r="LPT27" s="85"/>
      <c r="LPU27" s="85"/>
      <c r="LPV27" s="85"/>
      <c r="LPW27" s="85"/>
      <c r="LPX27" s="85"/>
      <c r="LPY27" s="85"/>
      <c r="LPZ27" s="85"/>
      <c r="LQA27" s="85"/>
      <c r="LQB27" s="85"/>
      <c r="LQC27" s="85"/>
      <c r="LQD27" s="85"/>
      <c r="LQE27" s="85"/>
      <c r="LQF27" s="85"/>
      <c r="LQG27" s="85"/>
      <c r="LQH27" s="85"/>
      <c r="LQI27" s="85"/>
      <c r="LQJ27" s="85"/>
      <c r="LQK27" s="85"/>
      <c r="LQL27" s="85"/>
      <c r="LQM27" s="85"/>
      <c r="LQN27" s="85"/>
      <c r="LQO27" s="85"/>
      <c r="LQP27" s="85"/>
      <c r="LQQ27" s="85"/>
      <c r="LQR27" s="85"/>
      <c r="LQS27" s="85"/>
      <c r="LQT27" s="85"/>
      <c r="LQU27" s="85"/>
      <c r="LQV27" s="85"/>
      <c r="LQW27" s="85"/>
      <c r="LQX27" s="85"/>
      <c r="LQY27" s="85"/>
      <c r="LQZ27" s="85"/>
      <c r="LRA27" s="85"/>
      <c r="LRB27" s="85"/>
      <c r="LRC27" s="85"/>
      <c r="LRD27" s="85"/>
      <c r="LRE27" s="85"/>
      <c r="LRF27" s="85"/>
      <c r="LRG27" s="85"/>
      <c r="LRH27" s="85"/>
      <c r="LRI27" s="85"/>
      <c r="LRJ27" s="85"/>
      <c r="LRK27" s="85"/>
      <c r="LRL27" s="85"/>
      <c r="LRM27" s="85"/>
      <c r="LRN27" s="85"/>
      <c r="LRO27" s="85"/>
      <c r="LRP27" s="85"/>
      <c r="LRQ27" s="85"/>
      <c r="LRR27" s="85"/>
      <c r="LRS27" s="85"/>
      <c r="LRT27" s="85"/>
      <c r="LRU27" s="85"/>
      <c r="LRV27" s="85"/>
      <c r="LRW27" s="85"/>
      <c r="LRX27" s="85"/>
      <c r="LRY27" s="85"/>
      <c r="LRZ27" s="85"/>
      <c r="LSA27" s="85"/>
      <c r="LSB27" s="85"/>
      <c r="LSC27" s="85"/>
      <c r="LSD27" s="85"/>
      <c r="LSE27" s="85"/>
      <c r="LSF27" s="85"/>
      <c r="LSG27" s="85"/>
      <c r="LSH27" s="85"/>
      <c r="LSI27" s="85"/>
      <c r="LSJ27" s="85"/>
      <c r="LSK27" s="85"/>
      <c r="LSL27" s="85"/>
      <c r="LSM27" s="85"/>
      <c r="LSN27" s="85"/>
      <c r="LSO27" s="85"/>
      <c r="LSP27" s="85"/>
      <c r="LSQ27" s="85"/>
      <c r="LSR27" s="85"/>
      <c r="LSS27" s="85"/>
      <c r="LST27" s="85"/>
      <c r="LSU27" s="85"/>
      <c r="LSV27" s="85"/>
      <c r="LSW27" s="85"/>
      <c r="LSX27" s="85"/>
      <c r="LSY27" s="85"/>
      <c r="LSZ27" s="85"/>
      <c r="LTA27" s="85"/>
      <c r="LTB27" s="85"/>
      <c r="LTC27" s="85"/>
      <c r="LTD27" s="85"/>
      <c r="LTE27" s="85"/>
      <c r="LTF27" s="85"/>
      <c r="LTG27" s="85"/>
      <c r="LTH27" s="85"/>
      <c r="LTI27" s="85"/>
      <c r="LTJ27" s="85"/>
      <c r="LTK27" s="85"/>
      <c r="LTL27" s="85"/>
      <c r="LTM27" s="85"/>
      <c r="LTN27" s="85"/>
      <c r="LTO27" s="85"/>
      <c r="LTP27" s="85"/>
      <c r="LTQ27" s="85"/>
      <c r="LTR27" s="85"/>
      <c r="LTS27" s="85"/>
      <c r="LTT27" s="85"/>
      <c r="LTU27" s="85"/>
      <c r="LTV27" s="85"/>
      <c r="LTW27" s="85"/>
      <c r="LTX27" s="85"/>
      <c r="LTY27" s="85"/>
      <c r="LTZ27" s="85"/>
      <c r="LUA27" s="85"/>
      <c r="LUB27" s="85"/>
      <c r="LUC27" s="85"/>
      <c r="LUD27" s="85"/>
      <c r="LUE27" s="85"/>
      <c r="LUF27" s="85"/>
      <c r="LUG27" s="85"/>
      <c r="LUH27" s="85"/>
      <c r="LUI27" s="85"/>
      <c r="LUJ27" s="85"/>
      <c r="LUK27" s="85"/>
      <c r="LUL27" s="85"/>
      <c r="LUM27" s="85"/>
      <c r="LUN27" s="85"/>
      <c r="LUO27" s="85"/>
      <c r="LUP27" s="85"/>
      <c r="LUQ27" s="85"/>
      <c r="LUR27" s="85"/>
      <c r="LUS27" s="85"/>
      <c r="LUT27" s="85"/>
      <c r="LUU27" s="85"/>
      <c r="LUV27" s="85"/>
      <c r="LUW27" s="85"/>
      <c r="LUX27" s="85"/>
      <c r="LUY27" s="85"/>
      <c r="LUZ27" s="85"/>
      <c r="LVA27" s="85"/>
      <c r="LVB27" s="85"/>
      <c r="LVC27" s="85"/>
      <c r="LVD27" s="85"/>
      <c r="LVE27" s="85"/>
      <c r="LVF27" s="85"/>
      <c r="LVG27" s="85"/>
      <c r="LVH27" s="85"/>
      <c r="LVI27" s="85"/>
      <c r="LVJ27" s="85"/>
      <c r="LVK27" s="85"/>
      <c r="LVL27" s="85"/>
      <c r="LVM27" s="85"/>
      <c r="LVN27" s="85"/>
      <c r="LVO27" s="85"/>
      <c r="LVP27" s="85"/>
      <c r="LVQ27" s="85"/>
      <c r="LVR27" s="85"/>
      <c r="LVS27" s="85"/>
      <c r="LVT27" s="85"/>
      <c r="LVU27" s="85"/>
      <c r="LVV27" s="85"/>
      <c r="LVW27" s="85"/>
      <c r="LVX27" s="85"/>
      <c r="LVY27" s="85"/>
      <c r="LVZ27" s="85"/>
      <c r="LWA27" s="85"/>
      <c r="LWB27" s="85"/>
      <c r="LWC27" s="85"/>
      <c r="LWD27" s="85"/>
      <c r="LWE27" s="85"/>
      <c r="LWF27" s="85"/>
      <c r="LWG27" s="85"/>
      <c r="LWH27" s="85"/>
      <c r="LWI27" s="85"/>
      <c r="LWJ27" s="85"/>
      <c r="LWK27" s="85"/>
      <c r="LWL27" s="85"/>
      <c r="LWM27" s="85"/>
      <c r="LWN27" s="85"/>
      <c r="LWO27" s="85"/>
      <c r="LWP27" s="85"/>
      <c r="LWQ27" s="85"/>
      <c r="LWR27" s="85"/>
      <c r="LWS27" s="85"/>
      <c r="LWT27" s="85"/>
      <c r="LWU27" s="85"/>
      <c r="LWV27" s="85"/>
      <c r="LWW27" s="85"/>
      <c r="LWX27" s="85"/>
      <c r="LWY27" s="85"/>
      <c r="LWZ27" s="85"/>
      <c r="LXA27" s="85"/>
      <c r="LXB27" s="85"/>
      <c r="LXC27" s="85"/>
      <c r="LXD27" s="85"/>
      <c r="LXE27" s="85"/>
      <c r="LXF27" s="85"/>
      <c r="LXG27" s="85"/>
      <c r="LXH27" s="85"/>
      <c r="LXI27" s="85"/>
      <c r="LXJ27" s="85"/>
      <c r="LXK27" s="85"/>
      <c r="LXL27" s="85"/>
      <c r="LXM27" s="85"/>
      <c r="LXN27" s="85"/>
      <c r="LXO27" s="85"/>
      <c r="LXP27" s="85"/>
      <c r="LXQ27" s="85"/>
      <c r="LXR27" s="85"/>
      <c r="LXS27" s="85"/>
      <c r="LXT27" s="85"/>
      <c r="LXU27" s="85"/>
      <c r="LXV27" s="85"/>
      <c r="LXW27" s="85"/>
      <c r="LXX27" s="85"/>
      <c r="LXY27" s="85"/>
      <c r="LXZ27" s="85"/>
      <c r="LYA27" s="85"/>
      <c r="LYB27" s="85"/>
      <c r="LYC27" s="85"/>
      <c r="LYD27" s="85"/>
      <c r="LYE27" s="85"/>
      <c r="LYF27" s="85"/>
      <c r="LYG27" s="85"/>
      <c r="LYH27" s="85"/>
      <c r="LYI27" s="85"/>
      <c r="LYJ27" s="85"/>
      <c r="LYK27" s="85"/>
      <c r="LYL27" s="85"/>
      <c r="LYM27" s="85"/>
      <c r="LYN27" s="85"/>
      <c r="LYO27" s="85"/>
      <c r="LYP27" s="85"/>
      <c r="LYQ27" s="85"/>
      <c r="LYR27" s="85"/>
      <c r="LYS27" s="85"/>
      <c r="LYT27" s="85"/>
      <c r="LYU27" s="85"/>
      <c r="LYV27" s="85"/>
      <c r="LYW27" s="85"/>
      <c r="LYX27" s="85"/>
      <c r="LYY27" s="85"/>
      <c r="LYZ27" s="85"/>
      <c r="LZA27" s="85"/>
      <c r="LZB27" s="85"/>
      <c r="LZC27" s="85"/>
      <c r="LZD27" s="85"/>
      <c r="LZE27" s="85"/>
      <c r="LZF27" s="85"/>
      <c r="LZG27" s="85"/>
      <c r="LZH27" s="85"/>
      <c r="LZI27" s="85"/>
      <c r="LZJ27" s="85"/>
      <c r="LZK27" s="85"/>
      <c r="LZL27" s="85"/>
      <c r="LZM27" s="85"/>
      <c r="LZN27" s="85"/>
      <c r="LZO27" s="85"/>
      <c r="LZP27" s="85"/>
      <c r="LZQ27" s="85"/>
      <c r="LZR27" s="85"/>
      <c r="LZS27" s="85"/>
      <c r="LZT27" s="85"/>
      <c r="LZU27" s="85"/>
      <c r="LZV27" s="85"/>
      <c r="LZW27" s="85"/>
      <c r="LZX27" s="85"/>
      <c r="LZY27" s="85"/>
      <c r="LZZ27" s="85"/>
      <c r="MAA27" s="85"/>
      <c r="MAB27" s="85"/>
      <c r="MAC27" s="85"/>
      <c r="MAD27" s="85"/>
      <c r="MAE27" s="85"/>
      <c r="MAF27" s="85"/>
      <c r="MAG27" s="85"/>
      <c r="MAH27" s="85"/>
      <c r="MAI27" s="85"/>
      <c r="MAJ27" s="85"/>
      <c r="MAK27" s="85"/>
      <c r="MAL27" s="85"/>
      <c r="MAM27" s="85"/>
      <c r="MAN27" s="85"/>
      <c r="MAO27" s="85"/>
      <c r="MAP27" s="85"/>
      <c r="MAQ27" s="85"/>
      <c r="MAR27" s="85"/>
      <c r="MAS27" s="85"/>
      <c r="MAT27" s="85"/>
      <c r="MAU27" s="85"/>
      <c r="MAV27" s="85"/>
      <c r="MAW27" s="85"/>
      <c r="MAX27" s="85"/>
      <c r="MAY27" s="85"/>
      <c r="MAZ27" s="85"/>
      <c r="MBA27" s="85"/>
      <c r="MBB27" s="85"/>
      <c r="MBC27" s="85"/>
      <c r="MBD27" s="85"/>
      <c r="MBE27" s="85"/>
      <c r="MBF27" s="85"/>
      <c r="MBG27" s="85"/>
      <c r="MBH27" s="85"/>
      <c r="MBI27" s="85"/>
      <c r="MBJ27" s="85"/>
      <c r="MBK27" s="85"/>
      <c r="MBL27" s="85"/>
      <c r="MBM27" s="85"/>
      <c r="MBN27" s="85"/>
      <c r="MBO27" s="85"/>
      <c r="MBP27" s="85"/>
      <c r="MBQ27" s="85"/>
      <c r="MBR27" s="85"/>
      <c r="MBS27" s="85"/>
      <c r="MBT27" s="85"/>
      <c r="MBU27" s="85"/>
      <c r="MBV27" s="85"/>
      <c r="MBW27" s="85"/>
      <c r="MBX27" s="85"/>
      <c r="MBY27" s="85"/>
      <c r="MBZ27" s="85"/>
      <c r="MCA27" s="85"/>
      <c r="MCB27" s="85"/>
      <c r="MCC27" s="85"/>
      <c r="MCD27" s="85"/>
      <c r="MCE27" s="85"/>
      <c r="MCF27" s="85"/>
      <c r="MCG27" s="85"/>
      <c r="MCH27" s="85"/>
      <c r="MCI27" s="85"/>
      <c r="MCJ27" s="85"/>
      <c r="MCK27" s="85"/>
      <c r="MCL27" s="85"/>
      <c r="MCM27" s="85"/>
      <c r="MCN27" s="85"/>
      <c r="MCO27" s="85"/>
      <c r="MCP27" s="85"/>
      <c r="MCQ27" s="85"/>
      <c r="MCR27" s="85"/>
      <c r="MCS27" s="85"/>
      <c r="MCT27" s="85"/>
      <c r="MCU27" s="85"/>
      <c r="MCV27" s="85"/>
      <c r="MCW27" s="85"/>
      <c r="MCX27" s="85"/>
      <c r="MCY27" s="85"/>
      <c r="MCZ27" s="85"/>
      <c r="MDA27" s="85"/>
      <c r="MDB27" s="85"/>
      <c r="MDC27" s="85"/>
      <c r="MDD27" s="85"/>
      <c r="MDE27" s="85"/>
      <c r="MDF27" s="85"/>
      <c r="MDG27" s="85"/>
      <c r="MDH27" s="85"/>
      <c r="MDI27" s="85"/>
      <c r="MDJ27" s="85"/>
      <c r="MDK27" s="85"/>
      <c r="MDL27" s="85"/>
      <c r="MDM27" s="85"/>
      <c r="MDN27" s="85"/>
      <c r="MDO27" s="85"/>
      <c r="MDP27" s="85"/>
      <c r="MDQ27" s="85"/>
      <c r="MDR27" s="85"/>
      <c r="MDS27" s="85"/>
      <c r="MDT27" s="85"/>
      <c r="MDU27" s="85"/>
      <c r="MDV27" s="85"/>
      <c r="MDW27" s="85"/>
      <c r="MDX27" s="85"/>
      <c r="MDY27" s="85"/>
      <c r="MDZ27" s="85"/>
      <c r="MEA27" s="85"/>
      <c r="MEB27" s="85"/>
      <c r="MEC27" s="85"/>
      <c r="MED27" s="85"/>
      <c r="MEE27" s="85"/>
      <c r="MEF27" s="85"/>
      <c r="MEG27" s="85"/>
      <c r="MEH27" s="85"/>
      <c r="MEI27" s="85"/>
      <c r="MEJ27" s="85"/>
      <c r="MEK27" s="85"/>
      <c r="MEL27" s="85"/>
      <c r="MEM27" s="85"/>
      <c r="MEN27" s="85"/>
      <c r="MEO27" s="85"/>
      <c r="MEP27" s="85"/>
      <c r="MEQ27" s="85"/>
      <c r="MER27" s="85"/>
      <c r="MES27" s="85"/>
      <c r="MET27" s="85"/>
      <c r="MEU27" s="85"/>
      <c r="MEV27" s="85"/>
      <c r="MEW27" s="85"/>
      <c r="MEX27" s="85"/>
      <c r="MEY27" s="85"/>
      <c r="MEZ27" s="85"/>
      <c r="MFA27" s="85"/>
      <c r="MFB27" s="85"/>
      <c r="MFC27" s="85"/>
      <c r="MFD27" s="85"/>
      <c r="MFE27" s="85"/>
      <c r="MFF27" s="85"/>
      <c r="MFG27" s="85"/>
      <c r="MFH27" s="85"/>
      <c r="MFI27" s="85"/>
      <c r="MFJ27" s="85"/>
      <c r="MFK27" s="85"/>
      <c r="MFL27" s="85"/>
      <c r="MFM27" s="85"/>
      <c r="MFN27" s="85"/>
      <c r="MFO27" s="85"/>
      <c r="MFP27" s="85"/>
      <c r="MFQ27" s="85"/>
      <c r="MFR27" s="85"/>
      <c r="MFS27" s="85"/>
      <c r="MFT27" s="85"/>
      <c r="MFU27" s="85"/>
      <c r="MFV27" s="85"/>
      <c r="MFW27" s="85"/>
      <c r="MFX27" s="85"/>
      <c r="MFY27" s="85"/>
      <c r="MFZ27" s="85"/>
      <c r="MGA27" s="85"/>
      <c r="MGB27" s="85"/>
      <c r="MGC27" s="85"/>
      <c r="MGD27" s="85"/>
      <c r="MGE27" s="85"/>
      <c r="MGF27" s="85"/>
      <c r="MGG27" s="85"/>
      <c r="MGH27" s="85"/>
      <c r="MGI27" s="85"/>
      <c r="MGJ27" s="85"/>
      <c r="MGK27" s="85"/>
      <c r="MGL27" s="85"/>
      <c r="MGM27" s="85"/>
      <c r="MGN27" s="85"/>
      <c r="MGO27" s="85"/>
      <c r="MGP27" s="85"/>
      <c r="MGQ27" s="85"/>
      <c r="MGR27" s="85"/>
      <c r="MGS27" s="85"/>
      <c r="MGT27" s="85"/>
      <c r="MGU27" s="85"/>
      <c r="MGV27" s="85"/>
      <c r="MGW27" s="85"/>
      <c r="MGX27" s="85"/>
      <c r="MGY27" s="85"/>
      <c r="MGZ27" s="85"/>
      <c r="MHA27" s="85"/>
      <c r="MHB27" s="85"/>
      <c r="MHC27" s="85"/>
      <c r="MHD27" s="85"/>
      <c r="MHE27" s="85"/>
      <c r="MHF27" s="85"/>
      <c r="MHG27" s="85"/>
      <c r="MHH27" s="85"/>
      <c r="MHI27" s="85"/>
      <c r="MHJ27" s="85"/>
      <c r="MHK27" s="85"/>
      <c r="MHL27" s="85"/>
      <c r="MHM27" s="85"/>
      <c r="MHN27" s="85"/>
      <c r="MHO27" s="85"/>
      <c r="MHP27" s="85"/>
      <c r="MHQ27" s="85"/>
      <c r="MHR27" s="85"/>
      <c r="MHS27" s="85"/>
      <c r="MHT27" s="85"/>
      <c r="MHU27" s="85"/>
      <c r="MHV27" s="85"/>
      <c r="MHW27" s="85"/>
      <c r="MHX27" s="85"/>
      <c r="MHY27" s="85"/>
      <c r="MHZ27" s="85"/>
      <c r="MIA27" s="85"/>
      <c r="MIB27" s="85"/>
      <c r="MIC27" s="85"/>
      <c r="MID27" s="85"/>
      <c r="MIE27" s="85"/>
      <c r="MIF27" s="85"/>
      <c r="MIG27" s="85"/>
      <c r="MIH27" s="85"/>
      <c r="MII27" s="85"/>
      <c r="MIJ27" s="85"/>
      <c r="MIK27" s="85"/>
      <c r="MIL27" s="85"/>
      <c r="MIM27" s="85"/>
      <c r="MIN27" s="85"/>
      <c r="MIO27" s="85"/>
      <c r="MIP27" s="85"/>
      <c r="MIQ27" s="85"/>
      <c r="MIR27" s="85"/>
      <c r="MIS27" s="85"/>
      <c r="MIT27" s="85"/>
      <c r="MIU27" s="85"/>
      <c r="MIV27" s="85"/>
      <c r="MIW27" s="85"/>
      <c r="MIX27" s="85"/>
      <c r="MIY27" s="85"/>
      <c r="MIZ27" s="85"/>
      <c r="MJA27" s="85"/>
      <c r="MJB27" s="85"/>
      <c r="MJC27" s="85"/>
      <c r="MJD27" s="85"/>
      <c r="MJE27" s="85"/>
      <c r="MJF27" s="85"/>
      <c r="MJG27" s="85"/>
      <c r="MJH27" s="85"/>
      <c r="MJI27" s="85"/>
      <c r="MJJ27" s="85"/>
      <c r="MJK27" s="85"/>
      <c r="MJL27" s="85"/>
      <c r="MJM27" s="85"/>
      <c r="MJN27" s="85"/>
      <c r="MJO27" s="85"/>
      <c r="MJP27" s="85"/>
      <c r="MJQ27" s="85"/>
      <c r="MJR27" s="85"/>
      <c r="MJS27" s="85"/>
      <c r="MJT27" s="85"/>
      <c r="MJU27" s="85"/>
      <c r="MJV27" s="85"/>
      <c r="MJW27" s="85"/>
      <c r="MJX27" s="85"/>
      <c r="MJY27" s="85"/>
      <c r="MJZ27" s="85"/>
      <c r="MKA27" s="85"/>
      <c r="MKB27" s="85"/>
      <c r="MKC27" s="85"/>
      <c r="MKD27" s="85"/>
      <c r="MKE27" s="85"/>
      <c r="MKF27" s="85"/>
      <c r="MKG27" s="85"/>
      <c r="MKH27" s="85"/>
      <c r="MKI27" s="85"/>
      <c r="MKJ27" s="85"/>
      <c r="MKK27" s="85"/>
      <c r="MKL27" s="85"/>
      <c r="MKM27" s="85"/>
      <c r="MKN27" s="85"/>
      <c r="MKO27" s="85"/>
      <c r="MKP27" s="85"/>
      <c r="MKQ27" s="85"/>
      <c r="MKR27" s="85"/>
      <c r="MKS27" s="85"/>
      <c r="MKT27" s="85"/>
      <c r="MKU27" s="85"/>
      <c r="MKV27" s="85"/>
      <c r="MKW27" s="85"/>
      <c r="MKX27" s="85"/>
      <c r="MKY27" s="85"/>
      <c r="MKZ27" s="85"/>
      <c r="MLA27" s="85"/>
      <c r="MLB27" s="85"/>
      <c r="MLC27" s="85"/>
      <c r="MLD27" s="85"/>
      <c r="MLE27" s="85"/>
      <c r="MLF27" s="85"/>
      <c r="MLG27" s="85"/>
      <c r="MLH27" s="85"/>
      <c r="MLI27" s="85"/>
      <c r="MLJ27" s="85"/>
      <c r="MLK27" s="85"/>
      <c r="MLL27" s="85"/>
      <c r="MLM27" s="85"/>
      <c r="MLN27" s="85"/>
      <c r="MLO27" s="85"/>
      <c r="MLP27" s="85"/>
      <c r="MLQ27" s="85"/>
      <c r="MLR27" s="85"/>
      <c r="MLS27" s="85"/>
      <c r="MLT27" s="85"/>
      <c r="MLU27" s="85"/>
      <c r="MLV27" s="85"/>
      <c r="MLW27" s="85"/>
      <c r="MLX27" s="85"/>
      <c r="MLY27" s="85"/>
      <c r="MLZ27" s="85"/>
      <c r="MMA27" s="85"/>
      <c r="MMB27" s="85"/>
      <c r="MMC27" s="85"/>
      <c r="MMD27" s="85"/>
      <c r="MME27" s="85"/>
      <c r="MMF27" s="85"/>
      <c r="MMG27" s="85"/>
      <c r="MMH27" s="85"/>
      <c r="MMI27" s="85"/>
      <c r="MMJ27" s="85"/>
      <c r="MMK27" s="85"/>
      <c r="MML27" s="85"/>
      <c r="MMM27" s="85"/>
      <c r="MMN27" s="85"/>
      <c r="MMO27" s="85"/>
      <c r="MMP27" s="85"/>
      <c r="MMQ27" s="85"/>
      <c r="MMR27" s="85"/>
      <c r="MMS27" s="85"/>
      <c r="MMT27" s="85"/>
      <c r="MMU27" s="85"/>
      <c r="MMV27" s="85"/>
      <c r="MMW27" s="85"/>
      <c r="MMX27" s="85"/>
      <c r="MMY27" s="85"/>
      <c r="MMZ27" s="85"/>
      <c r="MNA27" s="85"/>
      <c r="MNB27" s="85"/>
      <c r="MNC27" s="85"/>
      <c r="MND27" s="85"/>
      <c r="MNE27" s="85"/>
      <c r="MNF27" s="85"/>
      <c r="MNG27" s="85"/>
      <c r="MNH27" s="85"/>
      <c r="MNI27" s="85"/>
      <c r="MNJ27" s="85"/>
      <c r="MNK27" s="85"/>
      <c r="MNL27" s="85"/>
      <c r="MNM27" s="85"/>
      <c r="MNN27" s="85"/>
      <c r="MNO27" s="85"/>
      <c r="MNP27" s="85"/>
      <c r="MNQ27" s="85"/>
      <c r="MNR27" s="85"/>
      <c r="MNS27" s="85"/>
      <c r="MNT27" s="85"/>
      <c r="MNU27" s="85"/>
      <c r="MNV27" s="85"/>
      <c r="MNW27" s="85"/>
      <c r="MNX27" s="85"/>
      <c r="MNY27" s="85"/>
      <c r="MNZ27" s="85"/>
      <c r="MOA27" s="85"/>
      <c r="MOB27" s="85"/>
      <c r="MOC27" s="85"/>
      <c r="MOD27" s="85"/>
      <c r="MOE27" s="85"/>
      <c r="MOF27" s="85"/>
      <c r="MOG27" s="85"/>
      <c r="MOH27" s="85"/>
      <c r="MOI27" s="85"/>
      <c r="MOJ27" s="85"/>
      <c r="MOK27" s="85"/>
      <c r="MOL27" s="85"/>
      <c r="MOM27" s="85"/>
      <c r="MON27" s="85"/>
      <c r="MOO27" s="85"/>
      <c r="MOP27" s="85"/>
      <c r="MOQ27" s="85"/>
      <c r="MOR27" s="85"/>
      <c r="MOS27" s="85"/>
      <c r="MOT27" s="85"/>
      <c r="MOU27" s="85"/>
      <c r="MOV27" s="85"/>
      <c r="MOW27" s="85"/>
      <c r="MOX27" s="85"/>
      <c r="MOY27" s="85"/>
      <c r="MOZ27" s="85"/>
      <c r="MPA27" s="85"/>
      <c r="MPB27" s="85"/>
      <c r="MPC27" s="85"/>
      <c r="MPD27" s="85"/>
      <c r="MPE27" s="85"/>
      <c r="MPF27" s="85"/>
      <c r="MPG27" s="85"/>
      <c r="MPH27" s="85"/>
      <c r="MPI27" s="85"/>
      <c r="MPJ27" s="85"/>
      <c r="MPK27" s="85"/>
      <c r="MPL27" s="85"/>
      <c r="MPM27" s="85"/>
      <c r="MPN27" s="85"/>
      <c r="MPO27" s="85"/>
      <c r="MPP27" s="85"/>
      <c r="MPQ27" s="85"/>
      <c r="MPR27" s="85"/>
      <c r="MPS27" s="85"/>
      <c r="MPT27" s="85"/>
      <c r="MPU27" s="85"/>
      <c r="MPV27" s="85"/>
      <c r="MPW27" s="85"/>
      <c r="MPX27" s="85"/>
      <c r="MPY27" s="85"/>
      <c r="MPZ27" s="85"/>
      <c r="MQA27" s="85"/>
      <c r="MQB27" s="85"/>
      <c r="MQC27" s="85"/>
      <c r="MQD27" s="85"/>
      <c r="MQE27" s="85"/>
      <c r="MQF27" s="85"/>
      <c r="MQG27" s="85"/>
      <c r="MQH27" s="85"/>
      <c r="MQI27" s="85"/>
      <c r="MQJ27" s="85"/>
      <c r="MQK27" s="85"/>
      <c r="MQL27" s="85"/>
      <c r="MQM27" s="85"/>
      <c r="MQN27" s="85"/>
      <c r="MQO27" s="85"/>
      <c r="MQP27" s="85"/>
      <c r="MQQ27" s="85"/>
      <c r="MQR27" s="85"/>
      <c r="MQS27" s="85"/>
      <c r="MQT27" s="85"/>
      <c r="MQU27" s="85"/>
      <c r="MQV27" s="85"/>
      <c r="MQW27" s="85"/>
      <c r="MQX27" s="85"/>
      <c r="MQY27" s="85"/>
      <c r="MQZ27" s="85"/>
      <c r="MRA27" s="85"/>
      <c r="MRB27" s="85"/>
      <c r="MRC27" s="85"/>
      <c r="MRD27" s="85"/>
      <c r="MRE27" s="85"/>
      <c r="MRF27" s="85"/>
      <c r="MRG27" s="85"/>
      <c r="MRH27" s="85"/>
      <c r="MRI27" s="85"/>
      <c r="MRJ27" s="85"/>
      <c r="MRK27" s="85"/>
      <c r="MRL27" s="85"/>
      <c r="MRM27" s="85"/>
      <c r="MRN27" s="85"/>
      <c r="MRO27" s="85"/>
      <c r="MRP27" s="85"/>
      <c r="MRQ27" s="85"/>
      <c r="MRR27" s="85"/>
      <c r="MRS27" s="85"/>
      <c r="MRT27" s="85"/>
      <c r="MRU27" s="85"/>
      <c r="MRV27" s="85"/>
      <c r="MRW27" s="85"/>
      <c r="MRX27" s="85"/>
      <c r="MRY27" s="85"/>
      <c r="MRZ27" s="85"/>
      <c r="MSA27" s="85"/>
      <c r="MSB27" s="85"/>
      <c r="MSC27" s="85"/>
      <c r="MSD27" s="85"/>
      <c r="MSE27" s="85"/>
      <c r="MSF27" s="85"/>
      <c r="MSG27" s="85"/>
      <c r="MSH27" s="85"/>
      <c r="MSI27" s="85"/>
      <c r="MSJ27" s="85"/>
      <c r="MSK27" s="85"/>
      <c r="MSL27" s="85"/>
      <c r="MSM27" s="85"/>
      <c r="MSN27" s="85"/>
      <c r="MSO27" s="85"/>
      <c r="MSP27" s="85"/>
      <c r="MSQ27" s="85"/>
      <c r="MSR27" s="85"/>
      <c r="MSS27" s="85"/>
      <c r="MST27" s="85"/>
      <c r="MSU27" s="85"/>
      <c r="MSV27" s="85"/>
      <c r="MSW27" s="85"/>
      <c r="MSX27" s="85"/>
      <c r="MSY27" s="85"/>
      <c r="MSZ27" s="85"/>
      <c r="MTA27" s="85"/>
      <c r="MTB27" s="85"/>
      <c r="MTC27" s="85"/>
      <c r="MTD27" s="85"/>
      <c r="MTE27" s="85"/>
      <c r="MTF27" s="85"/>
      <c r="MTG27" s="85"/>
      <c r="MTH27" s="85"/>
      <c r="MTI27" s="85"/>
      <c r="MTJ27" s="85"/>
      <c r="MTK27" s="85"/>
      <c r="MTL27" s="85"/>
      <c r="MTM27" s="85"/>
      <c r="MTN27" s="85"/>
      <c r="MTO27" s="85"/>
      <c r="MTP27" s="85"/>
      <c r="MTQ27" s="85"/>
      <c r="MTR27" s="85"/>
      <c r="MTS27" s="85"/>
      <c r="MTT27" s="85"/>
      <c r="MTU27" s="85"/>
      <c r="MTV27" s="85"/>
      <c r="MTW27" s="85"/>
      <c r="MTX27" s="85"/>
      <c r="MTY27" s="85"/>
      <c r="MTZ27" s="85"/>
      <c r="MUA27" s="85"/>
      <c r="MUB27" s="85"/>
      <c r="MUC27" s="85"/>
      <c r="MUD27" s="85"/>
      <c r="MUE27" s="85"/>
      <c r="MUF27" s="85"/>
      <c r="MUG27" s="85"/>
      <c r="MUH27" s="85"/>
      <c r="MUI27" s="85"/>
      <c r="MUJ27" s="85"/>
      <c r="MUK27" s="85"/>
      <c r="MUL27" s="85"/>
      <c r="MUM27" s="85"/>
      <c r="MUN27" s="85"/>
      <c r="MUO27" s="85"/>
      <c r="MUP27" s="85"/>
      <c r="MUQ27" s="85"/>
      <c r="MUR27" s="85"/>
      <c r="MUS27" s="85"/>
      <c r="MUT27" s="85"/>
      <c r="MUU27" s="85"/>
      <c r="MUV27" s="85"/>
      <c r="MUW27" s="85"/>
      <c r="MUX27" s="85"/>
      <c r="MUY27" s="85"/>
      <c r="MUZ27" s="85"/>
      <c r="MVA27" s="85"/>
      <c r="MVB27" s="85"/>
      <c r="MVC27" s="85"/>
      <c r="MVD27" s="85"/>
      <c r="MVE27" s="85"/>
      <c r="MVF27" s="85"/>
      <c r="MVG27" s="85"/>
      <c r="MVH27" s="85"/>
      <c r="MVI27" s="85"/>
      <c r="MVJ27" s="85"/>
      <c r="MVK27" s="85"/>
      <c r="MVL27" s="85"/>
      <c r="MVM27" s="85"/>
      <c r="MVN27" s="85"/>
      <c r="MVO27" s="85"/>
      <c r="MVP27" s="85"/>
      <c r="MVQ27" s="85"/>
      <c r="MVR27" s="85"/>
      <c r="MVS27" s="85"/>
      <c r="MVT27" s="85"/>
      <c r="MVU27" s="85"/>
      <c r="MVV27" s="85"/>
      <c r="MVW27" s="85"/>
      <c r="MVX27" s="85"/>
      <c r="MVY27" s="85"/>
      <c r="MVZ27" s="85"/>
      <c r="MWA27" s="85"/>
      <c r="MWB27" s="85"/>
      <c r="MWC27" s="85"/>
      <c r="MWD27" s="85"/>
      <c r="MWE27" s="85"/>
      <c r="MWF27" s="85"/>
      <c r="MWG27" s="85"/>
      <c r="MWH27" s="85"/>
      <c r="MWI27" s="85"/>
      <c r="MWJ27" s="85"/>
      <c r="MWK27" s="85"/>
      <c r="MWL27" s="85"/>
      <c r="MWM27" s="85"/>
      <c r="MWN27" s="85"/>
      <c r="MWO27" s="85"/>
      <c r="MWP27" s="85"/>
      <c r="MWQ27" s="85"/>
      <c r="MWR27" s="85"/>
      <c r="MWS27" s="85"/>
      <c r="MWT27" s="85"/>
      <c r="MWU27" s="85"/>
      <c r="MWV27" s="85"/>
      <c r="MWW27" s="85"/>
      <c r="MWX27" s="85"/>
      <c r="MWY27" s="85"/>
      <c r="MWZ27" s="85"/>
      <c r="MXA27" s="85"/>
      <c r="MXB27" s="85"/>
      <c r="MXC27" s="85"/>
      <c r="MXD27" s="85"/>
      <c r="MXE27" s="85"/>
      <c r="MXF27" s="85"/>
      <c r="MXG27" s="85"/>
      <c r="MXH27" s="85"/>
      <c r="MXI27" s="85"/>
      <c r="MXJ27" s="85"/>
      <c r="MXK27" s="85"/>
      <c r="MXL27" s="85"/>
      <c r="MXM27" s="85"/>
      <c r="MXN27" s="85"/>
      <c r="MXO27" s="85"/>
      <c r="MXP27" s="85"/>
      <c r="MXQ27" s="85"/>
      <c r="MXR27" s="85"/>
      <c r="MXS27" s="85"/>
      <c r="MXT27" s="85"/>
      <c r="MXU27" s="85"/>
      <c r="MXV27" s="85"/>
      <c r="MXW27" s="85"/>
      <c r="MXX27" s="85"/>
      <c r="MXY27" s="85"/>
      <c r="MXZ27" s="85"/>
      <c r="MYA27" s="85"/>
      <c r="MYB27" s="85"/>
      <c r="MYC27" s="85"/>
      <c r="MYD27" s="85"/>
      <c r="MYE27" s="85"/>
      <c r="MYF27" s="85"/>
      <c r="MYG27" s="85"/>
      <c r="MYH27" s="85"/>
      <c r="MYI27" s="85"/>
      <c r="MYJ27" s="85"/>
      <c r="MYK27" s="85"/>
      <c r="MYL27" s="85"/>
      <c r="MYM27" s="85"/>
      <c r="MYN27" s="85"/>
      <c r="MYO27" s="85"/>
      <c r="MYP27" s="85"/>
      <c r="MYQ27" s="85"/>
      <c r="MYR27" s="85"/>
      <c r="MYS27" s="85"/>
      <c r="MYT27" s="85"/>
      <c r="MYU27" s="85"/>
      <c r="MYV27" s="85"/>
      <c r="MYW27" s="85"/>
      <c r="MYX27" s="85"/>
      <c r="MYY27" s="85"/>
      <c r="MYZ27" s="85"/>
      <c r="MZA27" s="85"/>
      <c r="MZB27" s="85"/>
      <c r="MZC27" s="85"/>
      <c r="MZD27" s="85"/>
      <c r="MZE27" s="85"/>
      <c r="MZF27" s="85"/>
      <c r="MZG27" s="85"/>
      <c r="MZH27" s="85"/>
      <c r="MZI27" s="85"/>
      <c r="MZJ27" s="85"/>
      <c r="MZK27" s="85"/>
      <c r="MZL27" s="85"/>
      <c r="MZM27" s="85"/>
      <c r="MZN27" s="85"/>
      <c r="MZO27" s="85"/>
      <c r="MZP27" s="85"/>
      <c r="MZQ27" s="85"/>
      <c r="MZR27" s="85"/>
      <c r="MZS27" s="85"/>
      <c r="MZT27" s="85"/>
      <c r="MZU27" s="85"/>
      <c r="MZV27" s="85"/>
      <c r="MZW27" s="85"/>
      <c r="MZX27" s="85"/>
      <c r="MZY27" s="85"/>
      <c r="MZZ27" s="85"/>
      <c r="NAA27" s="85"/>
      <c r="NAB27" s="85"/>
      <c r="NAC27" s="85"/>
      <c r="NAD27" s="85"/>
      <c r="NAE27" s="85"/>
      <c r="NAF27" s="85"/>
      <c r="NAG27" s="85"/>
      <c r="NAH27" s="85"/>
      <c r="NAI27" s="85"/>
      <c r="NAJ27" s="85"/>
      <c r="NAK27" s="85"/>
      <c r="NAL27" s="85"/>
      <c r="NAM27" s="85"/>
      <c r="NAN27" s="85"/>
      <c r="NAO27" s="85"/>
      <c r="NAP27" s="85"/>
      <c r="NAQ27" s="85"/>
      <c r="NAR27" s="85"/>
      <c r="NAS27" s="85"/>
      <c r="NAT27" s="85"/>
      <c r="NAU27" s="85"/>
      <c r="NAV27" s="85"/>
      <c r="NAW27" s="85"/>
      <c r="NAX27" s="85"/>
      <c r="NAY27" s="85"/>
      <c r="NAZ27" s="85"/>
      <c r="NBA27" s="85"/>
      <c r="NBB27" s="85"/>
      <c r="NBC27" s="85"/>
      <c r="NBD27" s="85"/>
      <c r="NBE27" s="85"/>
      <c r="NBF27" s="85"/>
      <c r="NBG27" s="85"/>
      <c r="NBH27" s="85"/>
      <c r="NBI27" s="85"/>
      <c r="NBJ27" s="85"/>
      <c r="NBK27" s="85"/>
      <c r="NBL27" s="85"/>
      <c r="NBM27" s="85"/>
      <c r="NBN27" s="85"/>
      <c r="NBO27" s="85"/>
      <c r="NBP27" s="85"/>
      <c r="NBQ27" s="85"/>
      <c r="NBR27" s="85"/>
      <c r="NBS27" s="85"/>
      <c r="NBT27" s="85"/>
      <c r="NBU27" s="85"/>
      <c r="NBV27" s="85"/>
      <c r="NBW27" s="85"/>
      <c r="NBX27" s="85"/>
      <c r="NBY27" s="85"/>
      <c r="NBZ27" s="85"/>
      <c r="NCA27" s="85"/>
      <c r="NCB27" s="85"/>
      <c r="NCC27" s="85"/>
      <c r="NCD27" s="85"/>
      <c r="NCE27" s="85"/>
      <c r="NCF27" s="85"/>
      <c r="NCG27" s="85"/>
      <c r="NCH27" s="85"/>
      <c r="NCI27" s="85"/>
      <c r="NCJ27" s="85"/>
      <c r="NCK27" s="85"/>
      <c r="NCL27" s="85"/>
      <c r="NCM27" s="85"/>
      <c r="NCN27" s="85"/>
      <c r="NCO27" s="85"/>
      <c r="NCP27" s="85"/>
      <c r="NCQ27" s="85"/>
      <c r="NCR27" s="85"/>
      <c r="NCS27" s="85"/>
      <c r="NCT27" s="85"/>
      <c r="NCU27" s="85"/>
      <c r="NCV27" s="85"/>
      <c r="NCW27" s="85"/>
      <c r="NCX27" s="85"/>
      <c r="NCY27" s="85"/>
      <c r="NCZ27" s="85"/>
      <c r="NDA27" s="85"/>
      <c r="NDB27" s="85"/>
      <c r="NDC27" s="85"/>
      <c r="NDD27" s="85"/>
      <c r="NDE27" s="85"/>
      <c r="NDF27" s="85"/>
      <c r="NDG27" s="85"/>
      <c r="NDH27" s="85"/>
      <c r="NDI27" s="85"/>
      <c r="NDJ27" s="85"/>
      <c r="NDK27" s="85"/>
      <c r="NDL27" s="85"/>
      <c r="NDM27" s="85"/>
      <c r="NDN27" s="85"/>
      <c r="NDO27" s="85"/>
      <c r="NDP27" s="85"/>
      <c r="NDQ27" s="85"/>
      <c r="NDR27" s="85"/>
      <c r="NDS27" s="85"/>
      <c r="NDT27" s="85"/>
      <c r="NDU27" s="85"/>
      <c r="NDV27" s="85"/>
      <c r="NDW27" s="85"/>
      <c r="NDX27" s="85"/>
      <c r="NDY27" s="85"/>
      <c r="NDZ27" s="85"/>
      <c r="NEA27" s="85"/>
      <c r="NEB27" s="85"/>
      <c r="NEC27" s="85"/>
      <c r="NED27" s="85"/>
      <c r="NEE27" s="85"/>
      <c r="NEF27" s="85"/>
      <c r="NEG27" s="85"/>
      <c r="NEH27" s="85"/>
      <c r="NEI27" s="85"/>
      <c r="NEJ27" s="85"/>
      <c r="NEK27" s="85"/>
      <c r="NEL27" s="85"/>
      <c r="NEM27" s="85"/>
      <c r="NEN27" s="85"/>
      <c r="NEO27" s="85"/>
      <c r="NEP27" s="85"/>
      <c r="NEQ27" s="85"/>
      <c r="NER27" s="85"/>
      <c r="NES27" s="85"/>
      <c r="NET27" s="85"/>
      <c r="NEU27" s="85"/>
      <c r="NEV27" s="85"/>
      <c r="NEW27" s="85"/>
      <c r="NEX27" s="85"/>
      <c r="NEY27" s="85"/>
      <c r="NEZ27" s="85"/>
      <c r="NFA27" s="85"/>
      <c r="NFB27" s="85"/>
      <c r="NFC27" s="85"/>
      <c r="NFD27" s="85"/>
      <c r="NFE27" s="85"/>
      <c r="NFF27" s="85"/>
      <c r="NFG27" s="85"/>
      <c r="NFH27" s="85"/>
      <c r="NFI27" s="85"/>
      <c r="NFJ27" s="85"/>
      <c r="NFK27" s="85"/>
      <c r="NFL27" s="85"/>
      <c r="NFM27" s="85"/>
      <c r="NFN27" s="85"/>
      <c r="NFO27" s="85"/>
      <c r="NFP27" s="85"/>
      <c r="NFQ27" s="85"/>
      <c r="NFR27" s="85"/>
      <c r="NFS27" s="85"/>
      <c r="NFT27" s="85"/>
      <c r="NFU27" s="85"/>
      <c r="NFV27" s="85"/>
      <c r="NFW27" s="85"/>
      <c r="NFX27" s="85"/>
      <c r="NFY27" s="85"/>
      <c r="NFZ27" s="85"/>
      <c r="NGA27" s="85"/>
      <c r="NGB27" s="85"/>
      <c r="NGC27" s="85"/>
      <c r="NGD27" s="85"/>
      <c r="NGE27" s="85"/>
      <c r="NGF27" s="85"/>
      <c r="NGG27" s="85"/>
      <c r="NGH27" s="85"/>
      <c r="NGI27" s="85"/>
      <c r="NGJ27" s="85"/>
      <c r="NGK27" s="85"/>
      <c r="NGL27" s="85"/>
      <c r="NGM27" s="85"/>
      <c r="NGN27" s="85"/>
      <c r="NGO27" s="85"/>
      <c r="NGP27" s="85"/>
      <c r="NGQ27" s="85"/>
      <c r="NGR27" s="85"/>
      <c r="NGS27" s="85"/>
      <c r="NGT27" s="85"/>
      <c r="NGU27" s="85"/>
      <c r="NGV27" s="85"/>
      <c r="NGW27" s="85"/>
      <c r="NGX27" s="85"/>
      <c r="NGY27" s="85"/>
      <c r="NGZ27" s="85"/>
      <c r="NHA27" s="85"/>
      <c r="NHB27" s="85"/>
      <c r="NHC27" s="85"/>
      <c r="NHD27" s="85"/>
      <c r="NHE27" s="85"/>
      <c r="NHF27" s="85"/>
      <c r="NHG27" s="85"/>
      <c r="NHH27" s="85"/>
      <c r="NHI27" s="85"/>
      <c r="NHJ27" s="85"/>
      <c r="NHK27" s="85"/>
      <c r="NHL27" s="85"/>
      <c r="NHM27" s="85"/>
      <c r="NHN27" s="85"/>
      <c r="NHO27" s="85"/>
      <c r="NHP27" s="85"/>
      <c r="NHQ27" s="85"/>
      <c r="NHR27" s="85"/>
      <c r="NHS27" s="85"/>
      <c r="NHT27" s="85"/>
      <c r="NHU27" s="85"/>
      <c r="NHV27" s="85"/>
      <c r="NHW27" s="85"/>
      <c r="NHX27" s="85"/>
      <c r="NHY27" s="85"/>
      <c r="NHZ27" s="85"/>
      <c r="NIA27" s="85"/>
      <c r="NIB27" s="85"/>
      <c r="NIC27" s="85"/>
      <c r="NID27" s="85"/>
      <c r="NIE27" s="85"/>
      <c r="NIF27" s="85"/>
      <c r="NIG27" s="85"/>
      <c r="NIH27" s="85"/>
      <c r="NII27" s="85"/>
      <c r="NIJ27" s="85"/>
      <c r="NIK27" s="85"/>
      <c r="NIL27" s="85"/>
      <c r="NIM27" s="85"/>
      <c r="NIN27" s="85"/>
      <c r="NIO27" s="85"/>
      <c r="NIP27" s="85"/>
      <c r="NIQ27" s="85"/>
      <c r="NIR27" s="85"/>
      <c r="NIS27" s="85"/>
      <c r="NIT27" s="85"/>
      <c r="NIU27" s="85"/>
      <c r="NIV27" s="85"/>
      <c r="NIW27" s="85"/>
      <c r="NIX27" s="85"/>
      <c r="NIY27" s="85"/>
      <c r="NIZ27" s="85"/>
      <c r="NJA27" s="85"/>
      <c r="NJB27" s="85"/>
      <c r="NJC27" s="85"/>
      <c r="NJD27" s="85"/>
      <c r="NJE27" s="85"/>
      <c r="NJF27" s="85"/>
      <c r="NJG27" s="85"/>
      <c r="NJH27" s="85"/>
      <c r="NJI27" s="85"/>
      <c r="NJJ27" s="85"/>
      <c r="NJK27" s="85"/>
      <c r="NJL27" s="85"/>
      <c r="NJM27" s="85"/>
      <c r="NJN27" s="85"/>
      <c r="NJO27" s="85"/>
      <c r="NJP27" s="85"/>
      <c r="NJQ27" s="85"/>
      <c r="NJR27" s="85"/>
      <c r="NJS27" s="85"/>
      <c r="NJT27" s="85"/>
      <c r="NJU27" s="85"/>
      <c r="NJV27" s="85"/>
      <c r="NJW27" s="85"/>
      <c r="NJX27" s="85"/>
      <c r="NJY27" s="85"/>
      <c r="NJZ27" s="85"/>
      <c r="NKA27" s="85"/>
      <c r="NKB27" s="85"/>
      <c r="NKC27" s="85"/>
      <c r="NKD27" s="85"/>
      <c r="NKE27" s="85"/>
      <c r="NKF27" s="85"/>
      <c r="NKG27" s="85"/>
      <c r="NKH27" s="85"/>
      <c r="NKI27" s="85"/>
      <c r="NKJ27" s="85"/>
      <c r="NKK27" s="85"/>
      <c r="NKL27" s="85"/>
      <c r="NKM27" s="85"/>
      <c r="NKN27" s="85"/>
      <c r="NKO27" s="85"/>
      <c r="NKP27" s="85"/>
      <c r="NKQ27" s="85"/>
      <c r="NKR27" s="85"/>
      <c r="NKS27" s="85"/>
      <c r="NKT27" s="85"/>
      <c r="NKU27" s="85"/>
      <c r="NKV27" s="85"/>
      <c r="NKW27" s="85"/>
      <c r="NKX27" s="85"/>
      <c r="NKY27" s="85"/>
      <c r="NKZ27" s="85"/>
      <c r="NLA27" s="85"/>
      <c r="NLB27" s="85"/>
      <c r="NLC27" s="85"/>
      <c r="NLD27" s="85"/>
      <c r="NLE27" s="85"/>
      <c r="NLF27" s="85"/>
      <c r="NLG27" s="85"/>
      <c r="NLH27" s="85"/>
      <c r="NLI27" s="85"/>
      <c r="NLJ27" s="85"/>
      <c r="NLK27" s="85"/>
      <c r="NLL27" s="85"/>
      <c r="NLM27" s="85"/>
      <c r="NLN27" s="85"/>
      <c r="NLO27" s="85"/>
      <c r="NLP27" s="85"/>
      <c r="NLQ27" s="85"/>
      <c r="NLR27" s="85"/>
      <c r="NLS27" s="85"/>
      <c r="NLT27" s="85"/>
      <c r="NLU27" s="85"/>
      <c r="NLV27" s="85"/>
      <c r="NLW27" s="85"/>
      <c r="NLX27" s="85"/>
      <c r="NLY27" s="85"/>
      <c r="NLZ27" s="85"/>
      <c r="NMA27" s="85"/>
      <c r="NMB27" s="85"/>
      <c r="NMC27" s="85"/>
      <c r="NMD27" s="85"/>
      <c r="NME27" s="85"/>
      <c r="NMF27" s="85"/>
      <c r="NMG27" s="85"/>
      <c r="NMH27" s="85"/>
      <c r="NMI27" s="85"/>
      <c r="NMJ27" s="85"/>
      <c r="NMK27" s="85"/>
      <c r="NML27" s="85"/>
      <c r="NMM27" s="85"/>
      <c r="NMN27" s="85"/>
      <c r="NMO27" s="85"/>
      <c r="NMP27" s="85"/>
      <c r="NMQ27" s="85"/>
      <c r="NMR27" s="85"/>
      <c r="NMS27" s="85"/>
      <c r="NMT27" s="85"/>
      <c r="NMU27" s="85"/>
      <c r="NMV27" s="85"/>
      <c r="NMW27" s="85"/>
      <c r="NMX27" s="85"/>
      <c r="NMY27" s="85"/>
      <c r="NMZ27" s="85"/>
      <c r="NNA27" s="85"/>
      <c r="NNB27" s="85"/>
      <c r="NNC27" s="85"/>
      <c r="NND27" s="85"/>
      <c r="NNE27" s="85"/>
      <c r="NNF27" s="85"/>
      <c r="NNG27" s="85"/>
      <c r="NNH27" s="85"/>
      <c r="NNI27" s="85"/>
      <c r="NNJ27" s="85"/>
      <c r="NNK27" s="85"/>
      <c r="NNL27" s="85"/>
      <c r="NNM27" s="85"/>
      <c r="NNN27" s="85"/>
      <c r="NNO27" s="85"/>
      <c r="NNP27" s="85"/>
      <c r="NNQ27" s="85"/>
      <c r="NNR27" s="85"/>
      <c r="NNS27" s="85"/>
      <c r="NNT27" s="85"/>
      <c r="NNU27" s="85"/>
      <c r="NNV27" s="85"/>
      <c r="NNW27" s="85"/>
      <c r="NNX27" s="85"/>
      <c r="NNY27" s="85"/>
      <c r="NNZ27" s="85"/>
      <c r="NOA27" s="85"/>
      <c r="NOB27" s="85"/>
      <c r="NOC27" s="85"/>
      <c r="NOD27" s="85"/>
      <c r="NOE27" s="85"/>
      <c r="NOF27" s="85"/>
      <c r="NOG27" s="85"/>
      <c r="NOH27" s="85"/>
      <c r="NOI27" s="85"/>
      <c r="NOJ27" s="85"/>
      <c r="NOK27" s="85"/>
      <c r="NOL27" s="85"/>
      <c r="NOM27" s="85"/>
      <c r="NON27" s="85"/>
      <c r="NOO27" s="85"/>
      <c r="NOP27" s="85"/>
      <c r="NOQ27" s="85"/>
      <c r="NOR27" s="85"/>
      <c r="NOS27" s="85"/>
      <c r="NOT27" s="85"/>
      <c r="NOU27" s="85"/>
      <c r="NOV27" s="85"/>
      <c r="NOW27" s="85"/>
      <c r="NOX27" s="85"/>
      <c r="NOY27" s="85"/>
      <c r="NOZ27" s="85"/>
      <c r="NPA27" s="85"/>
      <c r="NPB27" s="85"/>
      <c r="NPC27" s="85"/>
      <c r="NPD27" s="85"/>
      <c r="NPE27" s="85"/>
      <c r="NPF27" s="85"/>
      <c r="NPG27" s="85"/>
      <c r="NPH27" s="85"/>
      <c r="NPI27" s="85"/>
      <c r="NPJ27" s="85"/>
      <c r="NPK27" s="85"/>
      <c r="NPL27" s="85"/>
      <c r="NPM27" s="85"/>
      <c r="NPN27" s="85"/>
      <c r="NPO27" s="85"/>
      <c r="NPP27" s="85"/>
      <c r="NPQ27" s="85"/>
      <c r="NPR27" s="85"/>
      <c r="NPS27" s="85"/>
      <c r="NPT27" s="85"/>
      <c r="NPU27" s="85"/>
      <c r="NPV27" s="85"/>
      <c r="NPW27" s="85"/>
      <c r="NPX27" s="85"/>
      <c r="NPY27" s="85"/>
      <c r="NPZ27" s="85"/>
      <c r="NQA27" s="85"/>
      <c r="NQB27" s="85"/>
      <c r="NQC27" s="85"/>
      <c r="NQD27" s="85"/>
      <c r="NQE27" s="85"/>
      <c r="NQF27" s="85"/>
      <c r="NQG27" s="85"/>
      <c r="NQH27" s="85"/>
      <c r="NQI27" s="85"/>
      <c r="NQJ27" s="85"/>
      <c r="NQK27" s="85"/>
      <c r="NQL27" s="85"/>
      <c r="NQM27" s="85"/>
      <c r="NQN27" s="85"/>
      <c r="NQO27" s="85"/>
      <c r="NQP27" s="85"/>
      <c r="NQQ27" s="85"/>
      <c r="NQR27" s="85"/>
      <c r="NQS27" s="85"/>
      <c r="NQT27" s="85"/>
      <c r="NQU27" s="85"/>
      <c r="NQV27" s="85"/>
      <c r="NQW27" s="85"/>
      <c r="NQX27" s="85"/>
      <c r="NQY27" s="85"/>
      <c r="NQZ27" s="85"/>
      <c r="NRA27" s="85"/>
      <c r="NRB27" s="85"/>
      <c r="NRC27" s="85"/>
      <c r="NRD27" s="85"/>
      <c r="NRE27" s="85"/>
      <c r="NRF27" s="85"/>
      <c r="NRG27" s="85"/>
      <c r="NRH27" s="85"/>
      <c r="NRI27" s="85"/>
      <c r="NRJ27" s="85"/>
      <c r="NRK27" s="85"/>
      <c r="NRL27" s="85"/>
      <c r="NRM27" s="85"/>
      <c r="NRN27" s="85"/>
      <c r="NRO27" s="85"/>
      <c r="NRP27" s="85"/>
      <c r="NRQ27" s="85"/>
      <c r="NRR27" s="85"/>
      <c r="NRS27" s="85"/>
      <c r="NRT27" s="85"/>
      <c r="NRU27" s="85"/>
      <c r="NRV27" s="85"/>
      <c r="NRW27" s="85"/>
      <c r="NRX27" s="85"/>
      <c r="NRY27" s="85"/>
      <c r="NRZ27" s="85"/>
      <c r="NSA27" s="85"/>
      <c r="NSB27" s="85"/>
      <c r="NSC27" s="85"/>
      <c r="NSD27" s="85"/>
      <c r="NSE27" s="85"/>
      <c r="NSF27" s="85"/>
      <c r="NSG27" s="85"/>
      <c r="NSH27" s="85"/>
      <c r="NSI27" s="85"/>
      <c r="NSJ27" s="85"/>
      <c r="NSK27" s="85"/>
      <c r="NSL27" s="85"/>
      <c r="NSM27" s="85"/>
      <c r="NSN27" s="85"/>
      <c r="NSO27" s="85"/>
      <c r="NSP27" s="85"/>
      <c r="NSQ27" s="85"/>
      <c r="NSR27" s="85"/>
      <c r="NSS27" s="85"/>
      <c r="NST27" s="85"/>
      <c r="NSU27" s="85"/>
      <c r="NSV27" s="85"/>
      <c r="NSW27" s="85"/>
      <c r="NSX27" s="85"/>
      <c r="NSY27" s="85"/>
      <c r="NSZ27" s="85"/>
      <c r="NTA27" s="85"/>
      <c r="NTB27" s="85"/>
      <c r="NTC27" s="85"/>
      <c r="NTD27" s="85"/>
      <c r="NTE27" s="85"/>
      <c r="NTF27" s="85"/>
      <c r="NTG27" s="85"/>
      <c r="NTH27" s="85"/>
      <c r="NTI27" s="85"/>
      <c r="NTJ27" s="85"/>
      <c r="NTK27" s="85"/>
      <c r="NTL27" s="85"/>
      <c r="NTM27" s="85"/>
      <c r="NTN27" s="85"/>
      <c r="NTO27" s="85"/>
      <c r="NTP27" s="85"/>
      <c r="NTQ27" s="85"/>
      <c r="NTR27" s="85"/>
      <c r="NTS27" s="85"/>
      <c r="NTT27" s="85"/>
      <c r="NTU27" s="85"/>
      <c r="NTV27" s="85"/>
      <c r="NTW27" s="85"/>
      <c r="NTX27" s="85"/>
      <c r="NTY27" s="85"/>
      <c r="NTZ27" s="85"/>
      <c r="NUA27" s="85"/>
      <c r="NUB27" s="85"/>
      <c r="NUC27" s="85"/>
      <c r="NUD27" s="85"/>
      <c r="NUE27" s="85"/>
      <c r="NUF27" s="85"/>
      <c r="NUG27" s="85"/>
      <c r="NUH27" s="85"/>
      <c r="NUI27" s="85"/>
      <c r="NUJ27" s="85"/>
      <c r="NUK27" s="85"/>
      <c r="NUL27" s="85"/>
      <c r="NUM27" s="85"/>
      <c r="NUN27" s="85"/>
      <c r="NUO27" s="85"/>
      <c r="NUP27" s="85"/>
      <c r="NUQ27" s="85"/>
      <c r="NUR27" s="85"/>
      <c r="NUS27" s="85"/>
      <c r="NUT27" s="85"/>
      <c r="NUU27" s="85"/>
      <c r="NUV27" s="85"/>
      <c r="NUW27" s="85"/>
      <c r="NUX27" s="85"/>
      <c r="NUY27" s="85"/>
      <c r="NUZ27" s="85"/>
      <c r="NVA27" s="85"/>
      <c r="NVB27" s="85"/>
      <c r="NVC27" s="85"/>
      <c r="NVD27" s="85"/>
      <c r="NVE27" s="85"/>
      <c r="NVF27" s="85"/>
      <c r="NVG27" s="85"/>
      <c r="NVH27" s="85"/>
      <c r="NVI27" s="85"/>
      <c r="NVJ27" s="85"/>
      <c r="NVK27" s="85"/>
      <c r="NVL27" s="85"/>
      <c r="NVM27" s="85"/>
      <c r="NVN27" s="85"/>
      <c r="NVO27" s="85"/>
      <c r="NVP27" s="85"/>
      <c r="NVQ27" s="85"/>
      <c r="NVR27" s="85"/>
      <c r="NVS27" s="85"/>
      <c r="NVT27" s="85"/>
      <c r="NVU27" s="85"/>
      <c r="NVV27" s="85"/>
      <c r="NVW27" s="85"/>
      <c r="NVX27" s="85"/>
      <c r="NVY27" s="85"/>
      <c r="NVZ27" s="85"/>
      <c r="NWA27" s="85"/>
      <c r="NWB27" s="85"/>
      <c r="NWC27" s="85"/>
      <c r="NWD27" s="85"/>
      <c r="NWE27" s="85"/>
      <c r="NWF27" s="85"/>
      <c r="NWG27" s="85"/>
      <c r="NWH27" s="85"/>
      <c r="NWI27" s="85"/>
      <c r="NWJ27" s="85"/>
      <c r="NWK27" s="85"/>
      <c r="NWL27" s="85"/>
      <c r="NWM27" s="85"/>
      <c r="NWN27" s="85"/>
      <c r="NWO27" s="85"/>
      <c r="NWP27" s="85"/>
      <c r="NWQ27" s="85"/>
      <c r="NWR27" s="85"/>
      <c r="NWS27" s="85"/>
      <c r="NWT27" s="85"/>
      <c r="NWU27" s="85"/>
      <c r="NWV27" s="85"/>
      <c r="NWW27" s="85"/>
      <c r="NWX27" s="85"/>
      <c r="NWY27" s="85"/>
      <c r="NWZ27" s="85"/>
      <c r="NXA27" s="85"/>
      <c r="NXB27" s="85"/>
      <c r="NXC27" s="85"/>
      <c r="NXD27" s="85"/>
      <c r="NXE27" s="85"/>
      <c r="NXF27" s="85"/>
      <c r="NXG27" s="85"/>
      <c r="NXH27" s="85"/>
      <c r="NXI27" s="85"/>
      <c r="NXJ27" s="85"/>
      <c r="NXK27" s="85"/>
      <c r="NXL27" s="85"/>
      <c r="NXM27" s="85"/>
      <c r="NXN27" s="85"/>
      <c r="NXO27" s="85"/>
      <c r="NXP27" s="85"/>
      <c r="NXQ27" s="85"/>
      <c r="NXR27" s="85"/>
      <c r="NXS27" s="85"/>
      <c r="NXT27" s="85"/>
      <c r="NXU27" s="85"/>
      <c r="NXV27" s="85"/>
      <c r="NXW27" s="85"/>
      <c r="NXX27" s="85"/>
      <c r="NXY27" s="85"/>
      <c r="NXZ27" s="85"/>
      <c r="NYA27" s="85"/>
      <c r="NYB27" s="85"/>
      <c r="NYC27" s="85"/>
      <c r="NYD27" s="85"/>
      <c r="NYE27" s="85"/>
      <c r="NYF27" s="85"/>
      <c r="NYG27" s="85"/>
      <c r="NYH27" s="85"/>
      <c r="NYI27" s="85"/>
      <c r="NYJ27" s="85"/>
      <c r="NYK27" s="85"/>
      <c r="NYL27" s="85"/>
      <c r="NYM27" s="85"/>
      <c r="NYN27" s="85"/>
      <c r="NYO27" s="85"/>
      <c r="NYP27" s="85"/>
      <c r="NYQ27" s="85"/>
      <c r="NYR27" s="85"/>
      <c r="NYS27" s="85"/>
      <c r="NYT27" s="85"/>
      <c r="NYU27" s="85"/>
      <c r="NYV27" s="85"/>
      <c r="NYW27" s="85"/>
      <c r="NYX27" s="85"/>
      <c r="NYY27" s="85"/>
      <c r="NYZ27" s="85"/>
      <c r="NZA27" s="85"/>
      <c r="NZB27" s="85"/>
      <c r="NZC27" s="85"/>
      <c r="NZD27" s="85"/>
      <c r="NZE27" s="85"/>
      <c r="NZF27" s="85"/>
      <c r="NZG27" s="85"/>
      <c r="NZH27" s="85"/>
      <c r="NZI27" s="85"/>
      <c r="NZJ27" s="85"/>
      <c r="NZK27" s="85"/>
      <c r="NZL27" s="85"/>
      <c r="NZM27" s="85"/>
      <c r="NZN27" s="85"/>
      <c r="NZO27" s="85"/>
      <c r="NZP27" s="85"/>
      <c r="NZQ27" s="85"/>
      <c r="NZR27" s="85"/>
      <c r="NZS27" s="85"/>
      <c r="NZT27" s="85"/>
      <c r="NZU27" s="85"/>
      <c r="NZV27" s="85"/>
      <c r="NZW27" s="85"/>
      <c r="NZX27" s="85"/>
      <c r="NZY27" s="85"/>
      <c r="NZZ27" s="85"/>
      <c r="OAA27" s="85"/>
      <c r="OAB27" s="85"/>
      <c r="OAC27" s="85"/>
      <c r="OAD27" s="85"/>
      <c r="OAE27" s="85"/>
      <c r="OAF27" s="85"/>
      <c r="OAG27" s="85"/>
      <c r="OAH27" s="85"/>
      <c r="OAI27" s="85"/>
      <c r="OAJ27" s="85"/>
      <c r="OAK27" s="85"/>
      <c r="OAL27" s="85"/>
      <c r="OAM27" s="85"/>
      <c r="OAN27" s="85"/>
      <c r="OAO27" s="85"/>
      <c r="OAP27" s="85"/>
      <c r="OAQ27" s="85"/>
      <c r="OAR27" s="85"/>
      <c r="OAS27" s="85"/>
      <c r="OAT27" s="85"/>
      <c r="OAU27" s="85"/>
      <c r="OAV27" s="85"/>
      <c r="OAW27" s="85"/>
      <c r="OAX27" s="85"/>
      <c r="OAY27" s="85"/>
      <c r="OAZ27" s="85"/>
      <c r="OBA27" s="85"/>
      <c r="OBB27" s="85"/>
      <c r="OBC27" s="85"/>
      <c r="OBD27" s="85"/>
      <c r="OBE27" s="85"/>
      <c r="OBF27" s="85"/>
      <c r="OBG27" s="85"/>
      <c r="OBH27" s="85"/>
      <c r="OBI27" s="85"/>
      <c r="OBJ27" s="85"/>
      <c r="OBK27" s="85"/>
      <c r="OBL27" s="85"/>
      <c r="OBM27" s="85"/>
      <c r="OBN27" s="85"/>
      <c r="OBO27" s="85"/>
      <c r="OBP27" s="85"/>
      <c r="OBQ27" s="85"/>
      <c r="OBR27" s="85"/>
      <c r="OBS27" s="85"/>
      <c r="OBT27" s="85"/>
      <c r="OBU27" s="85"/>
      <c r="OBV27" s="85"/>
      <c r="OBW27" s="85"/>
      <c r="OBX27" s="85"/>
      <c r="OBY27" s="85"/>
      <c r="OBZ27" s="85"/>
      <c r="OCA27" s="85"/>
      <c r="OCB27" s="85"/>
      <c r="OCC27" s="85"/>
      <c r="OCD27" s="85"/>
      <c r="OCE27" s="85"/>
      <c r="OCF27" s="85"/>
      <c r="OCG27" s="85"/>
      <c r="OCH27" s="85"/>
      <c r="OCI27" s="85"/>
      <c r="OCJ27" s="85"/>
      <c r="OCK27" s="85"/>
      <c r="OCL27" s="85"/>
      <c r="OCM27" s="85"/>
      <c r="OCN27" s="85"/>
      <c r="OCO27" s="85"/>
      <c r="OCP27" s="85"/>
      <c r="OCQ27" s="85"/>
      <c r="OCR27" s="85"/>
      <c r="OCS27" s="85"/>
      <c r="OCT27" s="85"/>
      <c r="OCU27" s="85"/>
      <c r="OCV27" s="85"/>
      <c r="OCW27" s="85"/>
      <c r="OCX27" s="85"/>
      <c r="OCY27" s="85"/>
      <c r="OCZ27" s="85"/>
      <c r="ODA27" s="85"/>
      <c r="ODB27" s="85"/>
      <c r="ODC27" s="85"/>
      <c r="ODD27" s="85"/>
      <c r="ODE27" s="85"/>
      <c r="ODF27" s="85"/>
      <c r="ODG27" s="85"/>
      <c r="ODH27" s="85"/>
      <c r="ODI27" s="85"/>
      <c r="ODJ27" s="85"/>
      <c r="ODK27" s="85"/>
      <c r="ODL27" s="85"/>
      <c r="ODM27" s="85"/>
      <c r="ODN27" s="85"/>
      <c r="ODO27" s="85"/>
      <c r="ODP27" s="85"/>
      <c r="ODQ27" s="85"/>
      <c r="ODR27" s="85"/>
      <c r="ODS27" s="85"/>
      <c r="ODT27" s="85"/>
      <c r="ODU27" s="85"/>
      <c r="ODV27" s="85"/>
      <c r="ODW27" s="85"/>
      <c r="ODX27" s="85"/>
      <c r="ODY27" s="85"/>
      <c r="ODZ27" s="85"/>
      <c r="OEA27" s="85"/>
      <c r="OEB27" s="85"/>
      <c r="OEC27" s="85"/>
      <c r="OED27" s="85"/>
      <c r="OEE27" s="85"/>
      <c r="OEF27" s="85"/>
      <c r="OEG27" s="85"/>
      <c r="OEH27" s="85"/>
      <c r="OEI27" s="85"/>
      <c r="OEJ27" s="85"/>
      <c r="OEK27" s="85"/>
      <c r="OEL27" s="85"/>
      <c r="OEM27" s="85"/>
      <c r="OEN27" s="85"/>
      <c r="OEO27" s="85"/>
      <c r="OEP27" s="85"/>
      <c r="OEQ27" s="85"/>
      <c r="OER27" s="85"/>
      <c r="OES27" s="85"/>
      <c r="OET27" s="85"/>
      <c r="OEU27" s="85"/>
      <c r="OEV27" s="85"/>
      <c r="OEW27" s="85"/>
      <c r="OEX27" s="85"/>
      <c r="OEY27" s="85"/>
      <c r="OEZ27" s="85"/>
      <c r="OFA27" s="85"/>
      <c r="OFB27" s="85"/>
      <c r="OFC27" s="85"/>
      <c r="OFD27" s="85"/>
      <c r="OFE27" s="85"/>
      <c r="OFF27" s="85"/>
      <c r="OFG27" s="85"/>
      <c r="OFH27" s="85"/>
      <c r="OFI27" s="85"/>
      <c r="OFJ27" s="85"/>
      <c r="OFK27" s="85"/>
      <c r="OFL27" s="85"/>
      <c r="OFM27" s="85"/>
      <c r="OFN27" s="85"/>
      <c r="OFO27" s="85"/>
      <c r="OFP27" s="85"/>
      <c r="OFQ27" s="85"/>
      <c r="OFR27" s="85"/>
      <c r="OFS27" s="85"/>
      <c r="OFT27" s="85"/>
      <c r="OFU27" s="85"/>
      <c r="OFV27" s="85"/>
      <c r="OFW27" s="85"/>
      <c r="OFX27" s="85"/>
      <c r="OFY27" s="85"/>
      <c r="OFZ27" s="85"/>
      <c r="OGA27" s="85"/>
      <c r="OGB27" s="85"/>
      <c r="OGC27" s="85"/>
      <c r="OGD27" s="85"/>
      <c r="OGE27" s="85"/>
      <c r="OGF27" s="85"/>
      <c r="OGG27" s="85"/>
      <c r="OGH27" s="85"/>
      <c r="OGI27" s="85"/>
      <c r="OGJ27" s="85"/>
      <c r="OGK27" s="85"/>
      <c r="OGL27" s="85"/>
      <c r="OGM27" s="85"/>
      <c r="OGN27" s="85"/>
      <c r="OGO27" s="85"/>
      <c r="OGP27" s="85"/>
      <c r="OGQ27" s="85"/>
      <c r="OGR27" s="85"/>
      <c r="OGS27" s="85"/>
      <c r="OGT27" s="85"/>
      <c r="OGU27" s="85"/>
      <c r="OGV27" s="85"/>
      <c r="OGW27" s="85"/>
      <c r="OGX27" s="85"/>
      <c r="OGY27" s="85"/>
      <c r="OGZ27" s="85"/>
      <c r="OHA27" s="85"/>
      <c r="OHB27" s="85"/>
      <c r="OHC27" s="85"/>
      <c r="OHD27" s="85"/>
      <c r="OHE27" s="85"/>
      <c r="OHF27" s="85"/>
      <c r="OHG27" s="85"/>
      <c r="OHH27" s="85"/>
      <c r="OHI27" s="85"/>
      <c r="OHJ27" s="85"/>
      <c r="OHK27" s="85"/>
      <c r="OHL27" s="85"/>
      <c r="OHM27" s="85"/>
      <c r="OHN27" s="85"/>
      <c r="OHO27" s="85"/>
      <c r="OHP27" s="85"/>
      <c r="OHQ27" s="85"/>
      <c r="OHR27" s="85"/>
      <c r="OHS27" s="85"/>
      <c r="OHT27" s="85"/>
      <c r="OHU27" s="85"/>
      <c r="OHV27" s="85"/>
      <c r="OHW27" s="85"/>
      <c r="OHX27" s="85"/>
      <c r="OHY27" s="85"/>
      <c r="OHZ27" s="85"/>
      <c r="OIA27" s="85"/>
      <c r="OIB27" s="85"/>
      <c r="OIC27" s="85"/>
      <c r="OID27" s="85"/>
      <c r="OIE27" s="85"/>
      <c r="OIF27" s="85"/>
      <c r="OIG27" s="85"/>
      <c r="OIH27" s="85"/>
      <c r="OII27" s="85"/>
      <c r="OIJ27" s="85"/>
      <c r="OIK27" s="85"/>
      <c r="OIL27" s="85"/>
      <c r="OIM27" s="85"/>
      <c r="OIN27" s="85"/>
      <c r="OIO27" s="85"/>
      <c r="OIP27" s="85"/>
      <c r="OIQ27" s="85"/>
      <c r="OIR27" s="85"/>
      <c r="OIS27" s="85"/>
      <c r="OIT27" s="85"/>
      <c r="OIU27" s="85"/>
      <c r="OIV27" s="85"/>
      <c r="OIW27" s="85"/>
      <c r="OIX27" s="85"/>
      <c r="OIY27" s="85"/>
      <c r="OIZ27" s="85"/>
      <c r="OJA27" s="85"/>
      <c r="OJB27" s="85"/>
      <c r="OJC27" s="85"/>
      <c r="OJD27" s="85"/>
      <c r="OJE27" s="85"/>
      <c r="OJF27" s="85"/>
      <c r="OJG27" s="85"/>
      <c r="OJH27" s="85"/>
      <c r="OJI27" s="85"/>
      <c r="OJJ27" s="85"/>
      <c r="OJK27" s="85"/>
      <c r="OJL27" s="85"/>
      <c r="OJM27" s="85"/>
      <c r="OJN27" s="85"/>
      <c r="OJO27" s="85"/>
      <c r="OJP27" s="85"/>
      <c r="OJQ27" s="85"/>
      <c r="OJR27" s="85"/>
      <c r="OJS27" s="85"/>
      <c r="OJT27" s="85"/>
      <c r="OJU27" s="85"/>
      <c r="OJV27" s="85"/>
      <c r="OJW27" s="85"/>
      <c r="OJX27" s="85"/>
      <c r="OJY27" s="85"/>
      <c r="OJZ27" s="85"/>
      <c r="OKA27" s="85"/>
      <c r="OKB27" s="85"/>
      <c r="OKC27" s="85"/>
      <c r="OKD27" s="85"/>
      <c r="OKE27" s="85"/>
      <c r="OKF27" s="85"/>
      <c r="OKG27" s="85"/>
      <c r="OKH27" s="85"/>
      <c r="OKI27" s="85"/>
      <c r="OKJ27" s="85"/>
      <c r="OKK27" s="85"/>
      <c r="OKL27" s="85"/>
      <c r="OKM27" s="85"/>
      <c r="OKN27" s="85"/>
      <c r="OKO27" s="85"/>
      <c r="OKP27" s="85"/>
      <c r="OKQ27" s="85"/>
      <c r="OKR27" s="85"/>
      <c r="OKS27" s="85"/>
      <c r="OKT27" s="85"/>
      <c r="OKU27" s="85"/>
      <c r="OKV27" s="85"/>
      <c r="OKW27" s="85"/>
      <c r="OKX27" s="85"/>
      <c r="OKY27" s="85"/>
      <c r="OKZ27" s="85"/>
      <c r="OLA27" s="85"/>
      <c r="OLB27" s="85"/>
      <c r="OLC27" s="85"/>
      <c r="OLD27" s="85"/>
      <c r="OLE27" s="85"/>
      <c r="OLF27" s="85"/>
      <c r="OLG27" s="85"/>
      <c r="OLH27" s="85"/>
      <c r="OLI27" s="85"/>
      <c r="OLJ27" s="85"/>
      <c r="OLK27" s="85"/>
      <c r="OLL27" s="85"/>
      <c r="OLM27" s="85"/>
      <c r="OLN27" s="85"/>
      <c r="OLO27" s="85"/>
      <c r="OLP27" s="85"/>
      <c r="OLQ27" s="85"/>
      <c r="OLR27" s="85"/>
      <c r="OLS27" s="85"/>
      <c r="OLT27" s="85"/>
      <c r="OLU27" s="85"/>
      <c r="OLV27" s="85"/>
      <c r="OLW27" s="85"/>
      <c r="OLX27" s="85"/>
      <c r="OLY27" s="85"/>
      <c r="OLZ27" s="85"/>
      <c r="OMA27" s="85"/>
      <c r="OMB27" s="85"/>
      <c r="OMC27" s="85"/>
      <c r="OMD27" s="85"/>
      <c r="OME27" s="85"/>
      <c r="OMF27" s="85"/>
      <c r="OMG27" s="85"/>
      <c r="OMH27" s="85"/>
      <c r="OMI27" s="85"/>
      <c r="OMJ27" s="85"/>
      <c r="OMK27" s="85"/>
      <c r="OML27" s="85"/>
      <c r="OMM27" s="85"/>
      <c r="OMN27" s="85"/>
      <c r="OMO27" s="85"/>
      <c r="OMP27" s="85"/>
      <c r="OMQ27" s="85"/>
      <c r="OMR27" s="85"/>
      <c r="OMS27" s="85"/>
      <c r="OMT27" s="85"/>
      <c r="OMU27" s="85"/>
      <c r="OMV27" s="85"/>
      <c r="OMW27" s="85"/>
      <c r="OMX27" s="85"/>
      <c r="OMY27" s="85"/>
      <c r="OMZ27" s="85"/>
      <c r="ONA27" s="85"/>
      <c r="ONB27" s="85"/>
      <c r="ONC27" s="85"/>
      <c r="OND27" s="85"/>
      <c r="ONE27" s="85"/>
      <c r="ONF27" s="85"/>
      <c r="ONG27" s="85"/>
      <c r="ONH27" s="85"/>
      <c r="ONI27" s="85"/>
      <c r="ONJ27" s="85"/>
      <c r="ONK27" s="85"/>
      <c r="ONL27" s="85"/>
      <c r="ONM27" s="85"/>
      <c r="ONN27" s="85"/>
      <c r="ONO27" s="85"/>
      <c r="ONP27" s="85"/>
      <c r="ONQ27" s="85"/>
      <c r="ONR27" s="85"/>
      <c r="ONS27" s="85"/>
      <c r="ONT27" s="85"/>
      <c r="ONU27" s="85"/>
      <c r="ONV27" s="85"/>
      <c r="ONW27" s="85"/>
      <c r="ONX27" s="85"/>
      <c r="ONY27" s="85"/>
      <c r="ONZ27" s="85"/>
      <c r="OOA27" s="85"/>
      <c r="OOB27" s="85"/>
      <c r="OOC27" s="85"/>
      <c r="OOD27" s="85"/>
      <c r="OOE27" s="85"/>
      <c r="OOF27" s="85"/>
      <c r="OOG27" s="85"/>
      <c r="OOH27" s="85"/>
      <c r="OOI27" s="85"/>
      <c r="OOJ27" s="85"/>
      <c r="OOK27" s="85"/>
      <c r="OOL27" s="85"/>
      <c r="OOM27" s="85"/>
      <c r="OON27" s="85"/>
      <c r="OOO27" s="85"/>
      <c r="OOP27" s="85"/>
      <c r="OOQ27" s="85"/>
      <c r="OOR27" s="85"/>
      <c r="OOS27" s="85"/>
      <c r="OOT27" s="85"/>
      <c r="OOU27" s="85"/>
      <c r="OOV27" s="85"/>
      <c r="OOW27" s="85"/>
      <c r="OOX27" s="85"/>
      <c r="OOY27" s="85"/>
      <c r="OOZ27" s="85"/>
      <c r="OPA27" s="85"/>
      <c r="OPB27" s="85"/>
      <c r="OPC27" s="85"/>
      <c r="OPD27" s="85"/>
      <c r="OPE27" s="85"/>
      <c r="OPF27" s="85"/>
      <c r="OPG27" s="85"/>
      <c r="OPH27" s="85"/>
      <c r="OPI27" s="85"/>
      <c r="OPJ27" s="85"/>
      <c r="OPK27" s="85"/>
      <c r="OPL27" s="85"/>
      <c r="OPM27" s="85"/>
      <c r="OPN27" s="85"/>
      <c r="OPO27" s="85"/>
      <c r="OPP27" s="85"/>
      <c r="OPQ27" s="85"/>
      <c r="OPR27" s="85"/>
      <c r="OPS27" s="85"/>
      <c r="OPT27" s="85"/>
      <c r="OPU27" s="85"/>
      <c r="OPV27" s="85"/>
      <c r="OPW27" s="85"/>
      <c r="OPX27" s="85"/>
      <c r="OPY27" s="85"/>
      <c r="OPZ27" s="85"/>
      <c r="OQA27" s="85"/>
      <c r="OQB27" s="85"/>
      <c r="OQC27" s="85"/>
      <c r="OQD27" s="85"/>
      <c r="OQE27" s="85"/>
      <c r="OQF27" s="85"/>
      <c r="OQG27" s="85"/>
      <c r="OQH27" s="85"/>
      <c r="OQI27" s="85"/>
      <c r="OQJ27" s="85"/>
      <c r="OQK27" s="85"/>
      <c r="OQL27" s="85"/>
      <c r="OQM27" s="85"/>
      <c r="OQN27" s="85"/>
      <c r="OQO27" s="85"/>
      <c r="OQP27" s="85"/>
      <c r="OQQ27" s="85"/>
      <c r="OQR27" s="85"/>
      <c r="OQS27" s="85"/>
      <c r="OQT27" s="85"/>
      <c r="OQU27" s="85"/>
      <c r="OQV27" s="85"/>
      <c r="OQW27" s="85"/>
      <c r="OQX27" s="85"/>
      <c r="OQY27" s="85"/>
      <c r="OQZ27" s="85"/>
      <c r="ORA27" s="85"/>
      <c r="ORB27" s="85"/>
      <c r="ORC27" s="85"/>
      <c r="ORD27" s="85"/>
      <c r="ORE27" s="85"/>
      <c r="ORF27" s="85"/>
      <c r="ORG27" s="85"/>
      <c r="ORH27" s="85"/>
      <c r="ORI27" s="85"/>
      <c r="ORJ27" s="85"/>
      <c r="ORK27" s="85"/>
      <c r="ORL27" s="85"/>
      <c r="ORM27" s="85"/>
      <c r="ORN27" s="85"/>
      <c r="ORO27" s="85"/>
      <c r="ORP27" s="85"/>
      <c r="ORQ27" s="85"/>
      <c r="ORR27" s="85"/>
      <c r="ORS27" s="85"/>
      <c r="ORT27" s="85"/>
      <c r="ORU27" s="85"/>
      <c r="ORV27" s="85"/>
      <c r="ORW27" s="85"/>
      <c r="ORX27" s="85"/>
      <c r="ORY27" s="85"/>
      <c r="ORZ27" s="85"/>
      <c r="OSA27" s="85"/>
      <c r="OSB27" s="85"/>
      <c r="OSC27" s="85"/>
      <c r="OSD27" s="85"/>
      <c r="OSE27" s="85"/>
      <c r="OSF27" s="85"/>
      <c r="OSG27" s="85"/>
      <c r="OSH27" s="85"/>
      <c r="OSI27" s="85"/>
      <c r="OSJ27" s="85"/>
      <c r="OSK27" s="85"/>
      <c r="OSL27" s="85"/>
      <c r="OSM27" s="85"/>
      <c r="OSN27" s="85"/>
      <c r="OSO27" s="85"/>
      <c r="OSP27" s="85"/>
      <c r="OSQ27" s="85"/>
      <c r="OSR27" s="85"/>
      <c r="OSS27" s="85"/>
      <c r="OST27" s="85"/>
      <c r="OSU27" s="85"/>
      <c r="OSV27" s="85"/>
      <c r="OSW27" s="85"/>
      <c r="OSX27" s="85"/>
      <c r="OSY27" s="85"/>
      <c r="OSZ27" s="85"/>
      <c r="OTA27" s="85"/>
      <c r="OTB27" s="85"/>
      <c r="OTC27" s="85"/>
      <c r="OTD27" s="85"/>
      <c r="OTE27" s="85"/>
      <c r="OTF27" s="85"/>
      <c r="OTG27" s="85"/>
      <c r="OTH27" s="85"/>
      <c r="OTI27" s="85"/>
      <c r="OTJ27" s="85"/>
      <c r="OTK27" s="85"/>
      <c r="OTL27" s="85"/>
      <c r="OTM27" s="85"/>
      <c r="OTN27" s="85"/>
      <c r="OTO27" s="85"/>
      <c r="OTP27" s="85"/>
      <c r="OTQ27" s="85"/>
      <c r="OTR27" s="85"/>
      <c r="OTS27" s="85"/>
      <c r="OTT27" s="85"/>
      <c r="OTU27" s="85"/>
      <c r="OTV27" s="85"/>
      <c r="OTW27" s="85"/>
      <c r="OTX27" s="85"/>
      <c r="OTY27" s="85"/>
      <c r="OTZ27" s="85"/>
      <c r="OUA27" s="85"/>
      <c r="OUB27" s="85"/>
      <c r="OUC27" s="85"/>
      <c r="OUD27" s="85"/>
      <c r="OUE27" s="85"/>
      <c r="OUF27" s="85"/>
      <c r="OUG27" s="85"/>
      <c r="OUH27" s="85"/>
      <c r="OUI27" s="85"/>
      <c r="OUJ27" s="85"/>
      <c r="OUK27" s="85"/>
      <c r="OUL27" s="85"/>
      <c r="OUM27" s="85"/>
      <c r="OUN27" s="85"/>
      <c r="OUO27" s="85"/>
      <c r="OUP27" s="85"/>
      <c r="OUQ27" s="85"/>
      <c r="OUR27" s="85"/>
      <c r="OUS27" s="85"/>
      <c r="OUT27" s="85"/>
      <c r="OUU27" s="85"/>
      <c r="OUV27" s="85"/>
      <c r="OUW27" s="85"/>
      <c r="OUX27" s="85"/>
      <c r="OUY27" s="85"/>
      <c r="OUZ27" s="85"/>
      <c r="OVA27" s="85"/>
      <c r="OVB27" s="85"/>
      <c r="OVC27" s="85"/>
      <c r="OVD27" s="85"/>
      <c r="OVE27" s="85"/>
      <c r="OVF27" s="85"/>
      <c r="OVG27" s="85"/>
      <c r="OVH27" s="85"/>
      <c r="OVI27" s="85"/>
      <c r="OVJ27" s="85"/>
      <c r="OVK27" s="85"/>
      <c r="OVL27" s="85"/>
      <c r="OVM27" s="85"/>
      <c r="OVN27" s="85"/>
      <c r="OVO27" s="85"/>
      <c r="OVP27" s="85"/>
      <c r="OVQ27" s="85"/>
      <c r="OVR27" s="85"/>
      <c r="OVS27" s="85"/>
      <c r="OVT27" s="85"/>
      <c r="OVU27" s="85"/>
      <c r="OVV27" s="85"/>
      <c r="OVW27" s="85"/>
      <c r="OVX27" s="85"/>
      <c r="OVY27" s="85"/>
      <c r="OVZ27" s="85"/>
      <c r="OWA27" s="85"/>
      <c r="OWB27" s="85"/>
      <c r="OWC27" s="85"/>
      <c r="OWD27" s="85"/>
      <c r="OWE27" s="85"/>
      <c r="OWF27" s="85"/>
      <c r="OWG27" s="85"/>
      <c r="OWH27" s="85"/>
      <c r="OWI27" s="85"/>
      <c r="OWJ27" s="85"/>
      <c r="OWK27" s="85"/>
      <c r="OWL27" s="85"/>
      <c r="OWM27" s="85"/>
      <c r="OWN27" s="85"/>
      <c r="OWO27" s="85"/>
      <c r="OWP27" s="85"/>
      <c r="OWQ27" s="85"/>
      <c r="OWR27" s="85"/>
      <c r="OWS27" s="85"/>
      <c r="OWT27" s="85"/>
      <c r="OWU27" s="85"/>
      <c r="OWV27" s="85"/>
      <c r="OWW27" s="85"/>
      <c r="OWX27" s="85"/>
      <c r="OWY27" s="85"/>
      <c r="OWZ27" s="85"/>
      <c r="OXA27" s="85"/>
      <c r="OXB27" s="85"/>
      <c r="OXC27" s="85"/>
      <c r="OXD27" s="85"/>
      <c r="OXE27" s="85"/>
      <c r="OXF27" s="85"/>
      <c r="OXG27" s="85"/>
      <c r="OXH27" s="85"/>
      <c r="OXI27" s="85"/>
      <c r="OXJ27" s="85"/>
      <c r="OXK27" s="85"/>
      <c r="OXL27" s="85"/>
      <c r="OXM27" s="85"/>
      <c r="OXN27" s="85"/>
      <c r="OXO27" s="85"/>
      <c r="OXP27" s="85"/>
      <c r="OXQ27" s="85"/>
      <c r="OXR27" s="85"/>
      <c r="OXS27" s="85"/>
      <c r="OXT27" s="85"/>
      <c r="OXU27" s="85"/>
      <c r="OXV27" s="85"/>
      <c r="OXW27" s="85"/>
      <c r="OXX27" s="85"/>
      <c r="OXY27" s="85"/>
      <c r="OXZ27" s="85"/>
      <c r="OYA27" s="85"/>
      <c r="OYB27" s="85"/>
      <c r="OYC27" s="85"/>
      <c r="OYD27" s="85"/>
      <c r="OYE27" s="85"/>
      <c r="OYF27" s="85"/>
      <c r="OYG27" s="85"/>
      <c r="OYH27" s="85"/>
      <c r="OYI27" s="85"/>
      <c r="OYJ27" s="85"/>
      <c r="OYK27" s="85"/>
      <c r="OYL27" s="85"/>
      <c r="OYM27" s="85"/>
      <c r="OYN27" s="85"/>
      <c r="OYO27" s="85"/>
      <c r="OYP27" s="85"/>
      <c r="OYQ27" s="85"/>
      <c r="OYR27" s="85"/>
      <c r="OYS27" s="85"/>
      <c r="OYT27" s="85"/>
      <c r="OYU27" s="85"/>
      <c r="OYV27" s="85"/>
      <c r="OYW27" s="85"/>
      <c r="OYX27" s="85"/>
      <c r="OYY27" s="85"/>
      <c r="OYZ27" s="85"/>
      <c r="OZA27" s="85"/>
      <c r="OZB27" s="85"/>
      <c r="OZC27" s="85"/>
      <c r="OZD27" s="85"/>
      <c r="OZE27" s="85"/>
      <c r="OZF27" s="85"/>
      <c r="OZG27" s="85"/>
      <c r="OZH27" s="85"/>
      <c r="OZI27" s="85"/>
      <c r="OZJ27" s="85"/>
      <c r="OZK27" s="85"/>
      <c r="OZL27" s="85"/>
      <c r="OZM27" s="85"/>
      <c r="OZN27" s="85"/>
      <c r="OZO27" s="85"/>
      <c r="OZP27" s="85"/>
      <c r="OZQ27" s="85"/>
      <c r="OZR27" s="85"/>
      <c r="OZS27" s="85"/>
      <c r="OZT27" s="85"/>
      <c r="OZU27" s="85"/>
      <c r="OZV27" s="85"/>
      <c r="OZW27" s="85"/>
      <c r="OZX27" s="85"/>
      <c r="OZY27" s="85"/>
      <c r="OZZ27" s="85"/>
      <c r="PAA27" s="85"/>
      <c r="PAB27" s="85"/>
      <c r="PAC27" s="85"/>
      <c r="PAD27" s="85"/>
      <c r="PAE27" s="85"/>
      <c r="PAF27" s="85"/>
      <c r="PAG27" s="85"/>
      <c r="PAH27" s="85"/>
      <c r="PAI27" s="85"/>
      <c r="PAJ27" s="85"/>
      <c r="PAK27" s="85"/>
      <c r="PAL27" s="85"/>
      <c r="PAM27" s="85"/>
      <c r="PAN27" s="85"/>
      <c r="PAO27" s="85"/>
      <c r="PAP27" s="85"/>
      <c r="PAQ27" s="85"/>
      <c r="PAR27" s="85"/>
      <c r="PAS27" s="85"/>
      <c r="PAT27" s="85"/>
      <c r="PAU27" s="85"/>
      <c r="PAV27" s="85"/>
      <c r="PAW27" s="85"/>
      <c r="PAX27" s="85"/>
      <c r="PAY27" s="85"/>
      <c r="PAZ27" s="85"/>
      <c r="PBA27" s="85"/>
      <c r="PBB27" s="85"/>
      <c r="PBC27" s="85"/>
      <c r="PBD27" s="85"/>
      <c r="PBE27" s="85"/>
      <c r="PBF27" s="85"/>
      <c r="PBG27" s="85"/>
      <c r="PBH27" s="85"/>
      <c r="PBI27" s="85"/>
      <c r="PBJ27" s="85"/>
      <c r="PBK27" s="85"/>
      <c r="PBL27" s="85"/>
      <c r="PBM27" s="85"/>
      <c r="PBN27" s="85"/>
      <c r="PBO27" s="85"/>
      <c r="PBP27" s="85"/>
      <c r="PBQ27" s="85"/>
      <c r="PBR27" s="85"/>
      <c r="PBS27" s="85"/>
      <c r="PBT27" s="85"/>
      <c r="PBU27" s="85"/>
      <c r="PBV27" s="85"/>
      <c r="PBW27" s="85"/>
      <c r="PBX27" s="85"/>
      <c r="PBY27" s="85"/>
      <c r="PBZ27" s="85"/>
      <c r="PCA27" s="85"/>
      <c r="PCB27" s="85"/>
      <c r="PCC27" s="85"/>
      <c r="PCD27" s="85"/>
      <c r="PCE27" s="85"/>
      <c r="PCF27" s="85"/>
      <c r="PCG27" s="85"/>
      <c r="PCH27" s="85"/>
      <c r="PCI27" s="85"/>
      <c r="PCJ27" s="85"/>
      <c r="PCK27" s="85"/>
      <c r="PCL27" s="85"/>
      <c r="PCM27" s="85"/>
      <c r="PCN27" s="85"/>
      <c r="PCO27" s="85"/>
      <c r="PCP27" s="85"/>
      <c r="PCQ27" s="85"/>
      <c r="PCR27" s="85"/>
      <c r="PCS27" s="85"/>
      <c r="PCT27" s="85"/>
      <c r="PCU27" s="85"/>
      <c r="PCV27" s="85"/>
      <c r="PCW27" s="85"/>
      <c r="PCX27" s="85"/>
      <c r="PCY27" s="85"/>
      <c r="PCZ27" s="85"/>
      <c r="PDA27" s="85"/>
      <c r="PDB27" s="85"/>
      <c r="PDC27" s="85"/>
      <c r="PDD27" s="85"/>
      <c r="PDE27" s="85"/>
      <c r="PDF27" s="85"/>
      <c r="PDG27" s="85"/>
      <c r="PDH27" s="85"/>
      <c r="PDI27" s="85"/>
      <c r="PDJ27" s="85"/>
      <c r="PDK27" s="85"/>
      <c r="PDL27" s="85"/>
      <c r="PDM27" s="85"/>
      <c r="PDN27" s="85"/>
      <c r="PDO27" s="85"/>
      <c r="PDP27" s="85"/>
      <c r="PDQ27" s="85"/>
      <c r="PDR27" s="85"/>
      <c r="PDS27" s="85"/>
      <c r="PDT27" s="85"/>
      <c r="PDU27" s="85"/>
      <c r="PDV27" s="85"/>
      <c r="PDW27" s="85"/>
      <c r="PDX27" s="85"/>
      <c r="PDY27" s="85"/>
      <c r="PDZ27" s="85"/>
      <c r="PEA27" s="85"/>
      <c r="PEB27" s="85"/>
      <c r="PEC27" s="85"/>
      <c r="PED27" s="85"/>
      <c r="PEE27" s="85"/>
      <c r="PEF27" s="85"/>
      <c r="PEG27" s="85"/>
      <c r="PEH27" s="85"/>
      <c r="PEI27" s="85"/>
      <c r="PEJ27" s="85"/>
      <c r="PEK27" s="85"/>
      <c r="PEL27" s="85"/>
      <c r="PEM27" s="85"/>
      <c r="PEN27" s="85"/>
      <c r="PEO27" s="85"/>
      <c r="PEP27" s="85"/>
      <c r="PEQ27" s="85"/>
      <c r="PER27" s="85"/>
      <c r="PES27" s="85"/>
      <c r="PET27" s="85"/>
      <c r="PEU27" s="85"/>
      <c r="PEV27" s="85"/>
      <c r="PEW27" s="85"/>
      <c r="PEX27" s="85"/>
      <c r="PEY27" s="85"/>
      <c r="PEZ27" s="85"/>
      <c r="PFA27" s="85"/>
      <c r="PFB27" s="85"/>
      <c r="PFC27" s="85"/>
      <c r="PFD27" s="85"/>
      <c r="PFE27" s="85"/>
      <c r="PFF27" s="85"/>
      <c r="PFG27" s="85"/>
      <c r="PFH27" s="85"/>
      <c r="PFI27" s="85"/>
      <c r="PFJ27" s="85"/>
      <c r="PFK27" s="85"/>
      <c r="PFL27" s="85"/>
      <c r="PFM27" s="85"/>
      <c r="PFN27" s="85"/>
      <c r="PFO27" s="85"/>
      <c r="PFP27" s="85"/>
      <c r="PFQ27" s="85"/>
      <c r="PFR27" s="85"/>
      <c r="PFS27" s="85"/>
      <c r="PFT27" s="85"/>
      <c r="PFU27" s="85"/>
      <c r="PFV27" s="85"/>
      <c r="PFW27" s="85"/>
      <c r="PFX27" s="85"/>
      <c r="PFY27" s="85"/>
      <c r="PFZ27" s="85"/>
      <c r="PGA27" s="85"/>
      <c r="PGB27" s="85"/>
      <c r="PGC27" s="85"/>
      <c r="PGD27" s="85"/>
      <c r="PGE27" s="85"/>
      <c r="PGF27" s="85"/>
      <c r="PGG27" s="85"/>
      <c r="PGH27" s="85"/>
      <c r="PGI27" s="85"/>
      <c r="PGJ27" s="85"/>
      <c r="PGK27" s="85"/>
      <c r="PGL27" s="85"/>
      <c r="PGM27" s="85"/>
      <c r="PGN27" s="85"/>
      <c r="PGO27" s="85"/>
      <c r="PGP27" s="85"/>
      <c r="PGQ27" s="85"/>
      <c r="PGR27" s="85"/>
      <c r="PGS27" s="85"/>
      <c r="PGT27" s="85"/>
      <c r="PGU27" s="85"/>
      <c r="PGV27" s="85"/>
      <c r="PGW27" s="85"/>
      <c r="PGX27" s="85"/>
      <c r="PGY27" s="85"/>
      <c r="PGZ27" s="85"/>
      <c r="PHA27" s="85"/>
      <c r="PHB27" s="85"/>
      <c r="PHC27" s="85"/>
      <c r="PHD27" s="85"/>
      <c r="PHE27" s="85"/>
      <c r="PHF27" s="85"/>
      <c r="PHG27" s="85"/>
      <c r="PHH27" s="85"/>
      <c r="PHI27" s="85"/>
      <c r="PHJ27" s="85"/>
      <c r="PHK27" s="85"/>
      <c r="PHL27" s="85"/>
      <c r="PHM27" s="85"/>
      <c r="PHN27" s="85"/>
      <c r="PHO27" s="85"/>
      <c r="PHP27" s="85"/>
      <c r="PHQ27" s="85"/>
      <c r="PHR27" s="85"/>
      <c r="PHS27" s="85"/>
      <c r="PHT27" s="85"/>
      <c r="PHU27" s="85"/>
      <c r="PHV27" s="85"/>
      <c r="PHW27" s="85"/>
      <c r="PHX27" s="85"/>
      <c r="PHY27" s="85"/>
      <c r="PHZ27" s="85"/>
      <c r="PIA27" s="85"/>
      <c r="PIB27" s="85"/>
      <c r="PIC27" s="85"/>
      <c r="PID27" s="85"/>
      <c r="PIE27" s="85"/>
      <c r="PIF27" s="85"/>
      <c r="PIG27" s="85"/>
      <c r="PIH27" s="85"/>
      <c r="PII27" s="85"/>
      <c r="PIJ27" s="85"/>
      <c r="PIK27" s="85"/>
      <c r="PIL27" s="85"/>
      <c r="PIM27" s="85"/>
      <c r="PIN27" s="85"/>
      <c r="PIO27" s="85"/>
      <c r="PIP27" s="85"/>
      <c r="PIQ27" s="85"/>
      <c r="PIR27" s="85"/>
      <c r="PIS27" s="85"/>
      <c r="PIT27" s="85"/>
      <c r="PIU27" s="85"/>
      <c r="PIV27" s="85"/>
      <c r="PIW27" s="85"/>
      <c r="PIX27" s="85"/>
      <c r="PIY27" s="85"/>
      <c r="PIZ27" s="85"/>
      <c r="PJA27" s="85"/>
      <c r="PJB27" s="85"/>
      <c r="PJC27" s="85"/>
      <c r="PJD27" s="85"/>
      <c r="PJE27" s="85"/>
      <c r="PJF27" s="85"/>
      <c r="PJG27" s="85"/>
      <c r="PJH27" s="85"/>
      <c r="PJI27" s="85"/>
      <c r="PJJ27" s="85"/>
      <c r="PJK27" s="85"/>
      <c r="PJL27" s="85"/>
      <c r="PJM27" s="85"/>
      <c r="PJN27" s="85"/>
      <c r="PJO27" s="85"/>
      <c r="PJP27" s="85"/>
      <c r="PJQ27" s="85"/>
      <c r="PJR27" s="85"/>
      <c r="PJS27" s="85"/>
      <c r="PJT27" s="85"/>
      <c r="PJU27" s="85"/>
      <c r="PJV27" s="85"/>
      <c r="PJW27" s="85"/>
      <c r="PJX27" s="85"/>
      <c r="PJY27" s="85"/>
      <c r="PJZ27" s="85"/>
      <c r="PKA27" s="85"/>
      <c r="PKB27" s="85"/>
      <c r="PKC27" s="85"/>
      <c r="PKD27" s="85"/>
      <c r="PKE27" s="85"/>
      <c r="PKF27" s="85"/>
      <c r="PKG27" s="85"/>
      <c r="PKH27" s="85"/>
      <c r="PKI27" s="85"/>
      <c r="PKJ27" s="85"/>
      <c r="PKK27" s="85"/>
      <c r="PKL27" s="85"/>
      <c r="PKM27" s="85"/>
      <c r="PKN27" s="85"/>
      <c r="PKO27" s="85"/>
      <c r="PKP27" s="85"/>
      <c r="PKQ27" s="85"/>
      <c r="PKR27" s="85"/>
      <c r="PKS27" s="85"/>
      <c r="PKT27" s="85"/>
      <c r="PKU27" s="85"/>
      <c r="PKV27" s="85"/>
      <c r="PKW27" s="85"/>
      <c r="PKX27" s="85"/>
      <c r="PKY27" s="85"/>
      <c r="PKZ27" s="85"/>
      <c r="PLA27" s="85"/>
      <c r="PLB27" s="85"/>
      <c r="PLC27" s="85"/>
      <c r="PLD27" s="85"/>
      <c r="PLE27" s="85"/>
      <c r="PLF27" s="85"/>
      <c r="PLG27" s="85"/>
      <c r="PLH27" s="85"/>
      <c r="PLI27" s="85"/>
      <c r="PLJ27" s="85"/>
      <c r="PLK27" s="85"/>
      <c r="PLL27" s="85"/>
      <c r="PLM27" s="85"/>
      <c r="PLN27" s="85"/>
      <c r="PLO27" s="85"/>
      <c r="PLP27" s="85"/>
      <c r="PLQ27" s="85"/>
      <c r="PLR27" s="85"/>
      <c r="PLS27" s="85"/>
      <c r="PLT27" s="85"/>
      <c r="PLU27" s="85"/>
      <c r="PLV27" s="85"/>
      <c r="PLW27" s="85"/>
      <c r="PLX27" s="85"/>
      <c r="PLY27" s="85"/>
      <c r="PLZ27" s="85"/>
      <c r="PMA27" s="85"/>
      <c r="PMB27" s="85"/>
      <c r="PMC27" s="85"/>
      <c r="PMD27" s="85"/>
      <c r="PME27" s="85"/>
      <c r="PMF27" s="85"/>
      <c r="PMG27" s="85"/>
      <c r="PMH27" s="85"/>
      <c r="PMI27" s="85"/>
      <c r="PMJ27" s="85"/>
      <c r="PMK27" s="85"/>
      <c r="PML27" s="85"/>
      <c r="PMM27" s="85"/>
      <c r="PMN27" s="85"/>
      <c r="PMO27" s="85"/>
      <c r="PMP27" s="85"/>
      <c r="PMQ27" s="85"/>
      <c r="PMR27" s="85"/>
      <c r="PMS27" s="85"/>
      <c r="PMT27" s="85"/>
      <c r="PMU27" s="85"/>
      <c r="PMV27" s="85"/>
      <c r="PMW27" s="85"/>
      <c r="PMX27" s="85"/>
      <c r="PMY27" s="85"/>
      <c r="PMZ27" s="85"/>
      <c r="PNA27" s="85"/>
      <c r="PNB27" s="85"/>
      <c r="PNC27" s="85"/>
      <c r="PND27" s="85"/>
      <c r="PNE27" s="85"/>
      <c r="PNF27" s="85"/>
      <c r="PNG27" s="85"/>
      <c r="PNH27" s="85"/>
      <c r="PNI27" s="85"/>
      <c r="PNJ27" s="85"/>
      <c r="PNK27" s="85"/>
      <c r="PNL27" s="85"/>
      <c r="PNM27" s="85"/>
      <c r="PNN27" s="85"/>
      <c r="PNO27" s="85"/>
      <c r="PNP27" s="85"/>
      <c r="PNQ27" s="85"/>
      <c r="PNR27" s="85"/>
      <c r="PNS27" s="85"/>
      <c r="PNT27" s="85"/>
      <c r="PNU27" s="85"/>
      <c r="PNV27" s="85"/>
      <c r="PNW27" s="85"/>
      <c r="PNX27" s="85"/>
      <c r="PNY27" s="85"/>
      <c r="PNZ27" s="85"/>
      <c r="POA27" s="85"/>
      <c r="POB27" s="85"/>
      <c r="POC27" s="85"/>
      <c r="POD27" s="85"/>
      <c r="POE27" s="85"/>
      <c r="POF27" s="85"/>
      <c r="POG27" s="85"/>
      <c r="POH27" s="85"/>
      <c r="POI27" s="85"/>
      <c r="POJ27" s="85"/>
      <c r="POK27" s="85"/>
      <c r="POL27" s="85"/>
      <c r="POM27" s="85"/>
      <c r="PON27" s="85"/>
      <c r="POO27" s="85"/>
      <c r="POP27" s="85"/>
      <c r="POQ27" s="85"/>
      <c r="POR27" s="85"/>
      <c r="POS27" s="85"/>
      <c r="POT27" s="85"/>
      <c r="POU27" s="85"/>
      <c r="POV27" s="85"/>
      <c r="POW27" s="85"/>
      <c r="POX27" s="85"/>
      <c r="POY27" s="85"/>
      <c r="POZ27" s="85"/>
      <c r="PPA27" s="85"/>
      <c r="PPB27" s="85"/>
      <c r="PPC27" s="85"/>
      <c r="PPD27" s="85"/>
      <c r="PPE27" s="85"/>
      <c r="PPF27" s="85"/>
      <c r="PPG27" s="85"/>
      <c r="PPH27" s="85"/>
      <c r="PPI27" s="85"/>
      <c r="PPJ27" s="85"/>
      <c r="PPK27" s="85"/>
      <c r="PPL27" s="85"/>
      <c r="PPM27" s="85"/>
      <c r="PPN27" s="85"/>
      <c r="PPO27" s="85"/>
      <c r="PPP27" s="85"/>
      <c r="PPQ27" s="85"/>
      <c r="PPR27" s="85"/>
      <c r="PPS27" s="85"/>
      <c r="PPT27" s="85"/>
      <c r="PPU27" s="85"/>
      <c r="PPV27" s="85"/>
      <c r="PPW27" s="85"/>
      <c r="PPX27" s="85"/>
      <c r="PPY27" s="85"/>
      <c r="PPZ27" s="85"/>
      <c r="PQA27" s="85"/>
      <c r="PQB27" s="85"/>
      <c r="PQC27" s="85"/>
      <c r="PQD27" s="85"/>
      <c r="PQE27" s="85"/>
      <c r="PQF27" s="85"/>
      <c r="PQG27" s="85"/>
      <c r="PQH27" s="85"/>
      <c r="PQI27" s="85"/>
      <c r="PQJ27" s="85"/>
      <c r="PQK27" s="85"/>
      <c r="PQL27" s="85"/>
      <c r="PQM27" s="85"/>
      <c r="PQN27" s="85"/>
      <c r="PQO27" s="85"/>
      <c r="PQP27" s="85"/>
      <c r="PQQ27" s="85"/>
      <c r="PQR27" s="85"/>
      <c r="PQS27" s="85"/>
      <c r="PQT27" s="85"/>
      <c r="PQU27" s="85"/>
      <c r="PQV27" s="85"/>
      <c r="PQW27" s="85"/>
      <c r="PQX27" s="85"/>
      <c r="PQY27" s="85"/>
      <c r="PQZ27" s="85"/>
      <c r="PRA27" s="85"/>
      <c r="PRB27" s="85"/>
      <c r="PRC27" s="85"/>
      <c r="PRD27" s="85"/>
      <c r="PRE27" s="85"/>
      <c r="PRF27" s="85"/>
      <c r="PRG27" s="85"/>
      <c r="PRH27" s="85"/>
      <c r="PRI27" s="85"/>
      <c r="PRJ27" s="85"/>
      <c r="PRK27" s="85"/>
      <c r="PRL27" s="85"/>
      <c r="PRM27" s="85"/>
      <c r="PRN27" s="85"/>
      <c r="PRO27" s="85"/>
      <c r="PRP27" s="85"/>
      <c r="PRQ27" s="85"/>
      <c r="PRR27" s="85"/>
      <c r="PRS27" s="85"/>
      <c r="PRT27" s="85"/>
      <c r="PRU27" s="85"/>
      <c r="PRV27" s="85"/>
      <c r="PRW27" s="85"/>
      <c r="PRX27" s="85"/>
      <c r="PRY27" s="85"/>
      <c r="PRZ27" s="85"/>
      <c r="PSA27" s="85"/>
      <c r="PSB27" s="85"/>
      <c r="PSC27" s="85"/>
      <c r="PSD27" s="85"/>
      <c r="PSE27" s="85"/>
      <c r="PSF27" s="85"/>
      <c r="PSG27" s="85"/>
      <c r="PSH27" s="85"/>
      <c r="PSI27" s="85"/>
      <c r="PSJ27" s="85"/>
      <c r="PSK27" s="85"/>
      <c r="PSL27" s="85"/>
      <c r="PSM27" s="85"/>
      <c r="PSN27" s="85"/>
      <c r="PSO27" s="85"/>
      <c r="PSP27" s="85"/>
      <c r="PSQ27" s="85"/>
      <c r="PSR27" s="85"/>
      <c r="PSS27" s="85"/>
      <c r="PST27" s="85"/>
      <c r="PSU27" s="85"/>
      <c r="PSV27" s="85"/>
      <c r="PSW27" s="85"/>
      <c r="PSX27" s="85"/>
      <c r="PSY27" s="85"/>
      <c r="PSZ27" s="85"/>
      <c r="PTA27" s="85"/>
      <c r="PTB27" s="85"/>
      <c r="PTC27" s="85"/>
      <c r="PTD27" s="85"/>
      <c r="PTE27" s="85"/>
      <c r="PTF27" s="85"/>
      <c r="PTG27" s="85"/>
      <c r="PTH27" s="85"/>
      <c r="PTI27" s="85"/>
      <c r="PTJ27" s="85"/>
      <c r="PTK27" s="85"/>
      <c r="PTL27" s="85"/>
      <c r="PTM27" s="85"/>
      <c r="PTN27" s="85"/>
      <c r="PTO27" s="85"/>
      <c r="PTP27" s="85"/>
      <c r="PTQ27" s="85"/>
      <c r="PTR27" s="85"/>
      <c r="PTS27" s="85"/>
      <c r="PTT27" s="85"/>
      <c r="PTU27" s="85"/>
      <c r="PTV27" s="85"/>
      <c r="PTW27" s="85"/>
      <c r="PTX27" s="85"/>
      <c r="PTY27" s="85"/>
      <c r="PTZ27" s="85"/>
      <c r="PUA27" s="85"/>
      <c r="PUB27" s="85"/>
      <c r="PUC27" s="85"/>
      <c r="PUD27" s="85"/>
      <c r="PUE27" s="85"/>
      <c r="PUF27" s="85"/>
      <c r="PUG27" s="85"/>
      <c r="PUH27" s="85"/>
      <c r="PUI27" s="85"/>
      <c r="PUJ27" s="85"/>
      <c r="PUK27" s="85"/>
      <c r="PUL27" s="85"/>
      <c r="PUM27" s="85"/>
      <c r="PUN27" s="85"/>
      <c r="PUO27" s="85"/>
      <c r="PUP27" s="85"/>
      <c r="PUQ27" s="85"/>
      <c r="PUR27" s="85"/>
      <c r="PUS27" s="85"/>
      <c r="PUT27" s="85"/>
      <c r="PUU27" s="85"/>
      <c r="PUV27" s="85"/>
      <c r="PUW27" s="85"/>
      <c r="PUX27" s="85"/>
      <c r="PUY27" s="85"/>
      <c r="PUZ27" s="85"/>
      <c r="PVA27" s="85"/>
      <c r="PVB27" s="85"/>
      <c r="PVC27" s="85"/>
      <c r="PVD27" s="85"/>
      <c r="PVE27" s="85"/>
      <c r="PVF27" s="85"/>
      <c r="PVG27" s="85"/>
      <c r="PVH27" s="85"/>
      <c r="PVI27" s="85"/>
      <c r="PVJ27" s="85"/>
      <c r="PVK27" s="85"/>
      <c r="PVL27" s="85"/>
      <c r="PVM27" s="85"/>
      <c r="PVN27" s="85"/>
      <c r="PVO27" s="85"/>
      <c r="PVP27" s="85"/>
      <c r="PVQ27" s="85"/>
      <c r="PVR27" s="85"/>
      <c r="PVS27" s="85"/>
      <c r="PVT27" s="85"/>
      <c r="PVU27" s="85"/>
      <c r="PVV27" s="85"/>
      <c r="PVW27" s="85"/>
      <c r="PVX27" s="85"/>
      <c r="PVY27" s="85"/>
      <c r="PVZ27" s="85"/>
      <c r="PWA27" s="85"/>
      <c r="PWB27" s="85"/>
      <c r="PWC27" s="85"/>
      <c r="PWD27" s="85"/>
      <c r="PWE27" s="85"/>
      <c r="PWF27" s="85"/>
      <c r="PWG27" s="85"/>
      <c r="PWH27" s="85"/>
      <c r="PWI27" s="85"/>
      <c r="PWJ27" s="85"/>
      <c r="PWK27" s="85"/>
      <c r="PWL27" s="85"/>
      <c r="PWM27" s="85"/>
      <c r="PWN27" s="85"/>
      <c r="PWO27" s="85"/>
      <c r="PWP27" s="85"/>
      <c r="PWQ27" s="85"/>
      <c r="PWR27" s="85"/>
      <c r="PWS27" s="85"/>
      <c r="PWT27" s="85"/>
      <c r="PWU27" s="85"/>
      <c r="PWV27" s="85"/>
      <c r="PWW27" s="85"/>
      <c r="PWX27" s="85"/>
      <c r="PWY27" s="85"/>
      <c r="PWZ27" s="85"/>
      <c r="PXA27" s="85"/>
      <c r="PXB27" s="85"/>
      <c r="PXC27" s="85"/>
      <c r="PXD27" s="85"/>
      <c r="PXE27" s="85"/>
      <c r="PXF27" s="85"/>
      <c r="PXG27" s="85"/>
      <c r="PXH27" s="85"/>
      <c r="PXI27" s="85"/>
      <c r="PXJ27" s="85"/>
      <c r="PXK27" s="85"/>
      <c r="PXL27" s="85"/>
      <c r="PXM27" s="85"/>
      <c r="PXN27" s="85"/>
      <c r="PXO27" s="85"/>
      <c r="PXP27" s="85"/>
      <c r="PXQ27" s="85"/>
      <c r="PXR27" s="85"/>
      <c r="PXS27" s="85"/>
      <c r="PXT27" s="85"/>
      <c r="PXU27" s="85"/>
      <c r="PXV27" s="85"/>
      <c r="PXW27" s="85"/>
      <c r="PXX27" s="85"/>
      <c r="PXY27" s="85"/>
      <c r="PXZ27" s="85"/>
      <c r="PYA27" s="85"/>
      <c r="PYB27" s="85"/>
      <c r="PYC27" s="85"/>
      <c r="PYD27" s="85"/>
      <c r="PYE27" s="85"/>
      <c r="PYF27" s="85"/>
      <c r="PYG27" s="85"/>
      <c r="PYH27" s="85"/>
      <c r="PYI27" s="85"/>
      <c r="PYJ27" s="85"/>
      <c r="PYK27" s="85"/>
      <c r="PYL27" s="85"/>
      <c r="PYM27" s="85"/>
      <c r="PYN27" s="85"/>
      <c r="PYO27" s="85"/>
      <c r="PYP27" s="85"/>
      <c r="PYQ27" s="85"/>
      <c r="PYR27" s="85"/>
      <c r="PYS27" s="85"/>
      <c r="PYT27" s="85"/>
      <c r="PYU27" s="85"/>
      <c r="PYV27" s="85"/>
      <c r="PYW27" s="85"/>
      <c r="PYX27" s="85"/>
      <c r="PYY27" s="85"/>
      <c r="PYZ27" s="85"/>
      <c r="PZA27" s="85"/>
      <c r="PZB27" s="85"/>
      <c r="PZC27" s="85"/>
      <c r="PZD27" s="85"/>
      <c r="PZE27" s="85"/>
      <c r="PZF27" s="85"/>
      <c r="PZG27" s="85"/>
      <c r="PZH27" s="85"/>
      <c r="PZI27" s="85"/>
      <c r="PZJ27" s="85"/>
      <c r="PZK27" s="85"/>
      <c r="PZL27" s="85"/>
      <c r="PZM27" s="85"/>
      <c r="PZN27" s="85"/>
      <c r="PZO27" s="85"/>
      <c r="PZP27" s="85"/>
      <c r="PZQ27" s="85"/>
      <c r="PZR27" s="85"/>
      <c r="PZS27" s="85"/>
      <c r="PZT27" s="85"/>
      <c r="PZU27" s="85"/>
      <c r="PZV27" s="85"/>
      <c r="PZW27" s="85"/>
      <c r="PZX27" s="85"/>
      <c r="PZY27" s="85"/>
      <c r="PZZ27" s="85"/>
      <c r="QAA27" s="85"/>
      <c r="QAB27" s="85"/>
      <c r="QAC27" s="85"/>
      <c r="QAD27" s="85"/>
      <c r="QAE27" s="85"/>
      <c r="QAF27" s="85"/>
      <c r="QAG27" s="85"/>
      <c r="QAH27" s="85"/>
      <c r="QAI27" s="85"/>
      <c r="QAJ27" s="85"/>
      <c r="QAK27" s="85"/>
      <c r="QAL27" s="85"/>
      <c r="QAM27" s="85"/>
      <c r="QAN27" s="85"/>
      <c r="QAO27" s="85"/>
      <c r="QAP27" s="85"/>
      <c r="QAQ27" s="85"/>
      <c r="QAR27" s="85"/>
      <c r="QAS27" s="85"/>
      <c r="QAT27" s="85"/>
      <c r="QAU27" s="85"/>
      <c r="QAV27" s="85"/>
      <c r="QAW27" s="85"/>
      <c r="QAX27" s="85"/>
      <c r="QAY27" s="85"/>
      <c r="QAZ27" s="85"/>
      <c r="QBA27" s="85"/>
      <c r="QBB27" s="85"/>
      <c r="QBC27" s="85"/>
      <c r="QBD27" s="85"/>
      <c r="QBE27" s="85"/>
      <c r="QBF27" s="85"/>
      <c r="QBG27" s="85"/>
      <c r="QBH27" s="85"/>
      <c r="QBI27" s="85"/>
      <c r="QBJ27" s="85"/>
      <c r="QBK27" s="85"/>
      <c r="QBL27" s="85"/>
      <c r="QBM27" s="85"/>
      <c r="QBN27" s="85"/>
      <c r="QBO27" s="85"/>
      <c r="QBP27" s="85"/>
      <c r="QBQ27" s="85"/>
      <c r="QBR27" s="85"/>
      <c r="QBS27" s="85"/>
      <c r="QBT27" s="85"/>
      <c r="QBU27" s="85"/>
      <c r="QBV27" s="85"/>
      <c r="QBW27" s="85"/>
      <c r="QBX27" s="85"/>
      <c r="QBY27" s="85"/>
      <c r="QBZ27" s="85"/>
      <c r="QCA27" s="85"/>
      <c r="QCB27" s="85"/>
      <c r="QCC27" s="85"/>
      <c r="QCD27" s="85"/>
      <c r="QCE27" s="85"/>
      <c r="QCF27" s="85"/>
      <c r="QCG27" s="85"/>
      <c r="QCH27" s="85"/>
      <c r="QCI27" s="85"/>
      <c r="QCJ27" s="85"/>
      <c r="QCK27" s="85"/>
      <c r="QCL27" s="85"/>
      <c r="QCM27" s="85"/>
      <c r="QCN27" s="85"/>
      <c r="QCO27" s="85"/>
      <c r="QCP27" s="85"/>
      <c r="QCQ27" s="85"/>
      <c r="QCR27" s="85"/>
      <c r="QCS27" s="85"/>
      <c r="QCT27" s="85"/>
      <c r="QCU27" s="85"/>
      <c r="QCV27" s="85"/>
      <c r="QCW27" s="85"/>
      <c r="QCX27" s="85"/>
      <c r="QCY27" s="85"/>
      <c r="QCZ27" s="85"/>
      <c r="QDA27" s="85"/>
      <c r="QDB27" s="85"/>
      <c r="QDC27" s="85"/>
      <c r="QDD27" s="85"/>
      <c r="QDE27" s="85"/>
      <c r="QDF27" s="85"/>
      <c r="QDG27" s="85"/>
      <c r="QDH27" s="85"/>
      <c r="QDI27" s="85"/>
      <c r="QDJ27" s="85"/>
      <c r="QDK27" s="85"/>
      <c r="QDL27" s="85"/>
      <c r="QDM27" s="85"/>
      <c r="QDN27" s="85"/>
      <c r="QDO27" s="85"/>
      <c r="QDP27" s="85"/>
      <c r="QDQ27" s="85"/>
      <c r="QDR27" s="85"/>
      <c r="QDS27" s="85"/>
      <c r="QDT27" s="85"/>
      <c r="QDU27" s="85"/>
      <c r="QDV27" s="85"/>
      <c r="QDW27" s="85"/>
      <c r="QDX27" s="85"/>
      <c r="QDY27" s="85"/>
      <c r="QDZ27" s="85"/>
      <c r="QEA27" s="85"/>
      <c r="QEB27" s="85"/>
      <c r="QEC27" s="85"/>
      <c r="QED27" s="85"/>
      <c r="QEE27" s="85"/>
      <c r="QEF27" s="85"/>
      <c r="QEG27" s="85"/>
      <c r="QEH27" s="85"/>
      <c r="QEI27" s="85"/>
      <c r="QEJ27" s="85"/>
      <c r="QEK27" s="85"/>
      <c r="QEL27" s="85"/>
      <c r="QEM27" s="85"/>
      <c r="QEN27" s="85"/>
      <c r="QEO27" s="85"/>
      <c r="QEP27" s="85"/>
      <c r="QEQ27" s="85"/>
      <c r="QER27" s="85"/>
      <c r="QES27" s="85"/>
      <c r="QET27" s="85"/>
      <c r="QEU27" s="85"/>
      <c r="QEV27" s="85"/>
      <c r="QEW27" s="85"/>
      <c r="QEX27" s="85"/>
      <c r="QEY27" s="85"/>
      <c r="QEZ27" s="85"/>
      <c r="QFA27" s="85"/>
      <c r="QFB27" s="85"/>
      <c r="QFC27" s="85"/>
      <c r="QFD27" s="85"/>
      <c r="QFE27" s="85"/>
      <c r="QFF27" s="85"/>
      <c r="QFG27" s="85"/>
      <c r="QFH27" s="85"/>
      <c r="QFI27" s="85"/>
      <c r="QFJ27" s="85"/>
      <c r="QFK27" s="85"/>
      <c r="QFL27" s="85"/>
      <c r="QFM27" s="85"/>
      <c r="QFN27" s="85"/>
      <c r="QFO27" s="85"/>
      <c r="QFP27" s="85"/>
      <c r="QFQ27" s="85"/>
      <c r="QFR27" s="85"/>
      <c r="QFS27" s="85"/>
      <c r="QFT27" s="85"/>
      <c r="QFU27" s="85"/>
      <c r="QFV27" s="85"/>
      <c r="QFW27" s="85"/>
      <c r="QFX27" s="85"/>
      <c r="QFY27" s="85"/>
      <c r="QFZ27" s="85"/>
      <c r="QGA27" s="85"/>
      <c r="QGB27" s="85"/>
      <c r="QGC27" s="85"/>
      <c r="QGD27" s="85"/>
      <c r="QGE27" s="85"/>
      <c r="QGF27" s="85"/>
      <c r="QGG27" s="85"/>
      <c r="QGH27" s="85"/>
      <c r="QGI27" s="85"/>
      <c r="QGJ27" s="85"/>
      <c r="QGK27" s="85"/>
      <c r="QGL27" s="85"/>
      <c r="QGM27" s="85"/>
      <c r="QGN27" s="85"/>
      <c r="QGO27" s="85"/>
      <c r="QGP27" s="85"/>
      <c r="QGQ27" s="85"/>
      <c r="QGR27" s="85"/>
      <c r="QGS27" s="85"/>
      <c r="QGT27" s="85"/>
      <c r="QGU27" s="85"/>
      <c r="QGV27" s="85"/>
      <c r="QGW27" s="85"/>
      <c r="QGX27" s="85"/>
      <c r="QGY27" s="85"/>
      <c r="QGZ27" s="85"/>
      <c r="QHA27" s="85"/>
      <c r="QHB27" s="85"/>
      <c r="QHC27" s="85"/>
      <c r="QHD27" s="85"/>
      <c r="QHE27" s="85"/>
      <c r="QHF27" s="85"/>
      <c r="QHG27" s="85"/>
      <c r="QHH27" s="85"/>
      <c r="QHI27" s="85"/>
      <c r="QHJ27" s="85"/>
      <c r="QHK27" s="85"/>
      <c r="QHL27" s="85"/>
      <c r="QHM27" s="85"/>
      <c r="QHN27" s="85"/>
      <c r="QHO27" s="85"/>
      <c r="QHP27" s="85"/>
      <c r="QHQ27" s="85"/>
      <c r="QHR27" s="85"/>
      <c r="QHS27" s="85"/>
      <c r="QHT27" s="85"/>
      <c r="QHU27" s="85"/>
      <c r="QHV27" s="85"/>
      <c r="QHW27" s="85"/>
      <c r="QHX27" s="85"/>
      <c r="QHY27" s="85"/>
      <c r="QHZ27" s="85"/>
      <c r="QIA27" s="85"/>
      <c r="QIB27" s="85"/>
      <c r="QIC27" s="85"/>
      <c r="QID27" s="85"/>
      <c r="QIE27" s="85"/>
      <c r="QIF27" s="85"/>
      <c r="QIG27" s="85"/>
      <c r="QIH27" s="85"/>
      <c r="QII27" s="85"/>
      <c r="QIJ27" s="85"/>
      <c r="QIK27" s="85"/>
      <c r="QIL27" s="85"/>
      <c r="QIM27" s="85"/>
      <c r="QIN27" s="85"/>
      <c r="QIO27" s="85"/>
      <c r="QIP27" s="85"/>
      <c r="QIQ27" s="85"/>
      <c r="QIR27" s="85"/>
      <c r="QIS27" s="85"/>
      <c r="QIT27" s="85"/>
      <c r="QIU27" s="85"/>
      <c r="QIV27" s="85"/>
      <c r="QIW27" s="85"/>
      <c r="QIX27" s="85"/>
      <c r="QIY27" s="85"/>
      <c r="QIZ27" s="85"/>
      <c r="QJA27" s="85"/>
      <c r="QJB27" s="85"/>
      <c r="QJC27" s="85"/>
      <c r="QJD27" s="85"/>
      <c r="QJE27" s="85"/>
      <c r="QJF27" s="85"/>
      <c r="QJG27" s="85"/>
      <c r="QJH27" s="85"/>
      <c r="QJI27" s="85"/>
      <c r="QJJ27" s="85"/>
      <c r="QJK27" s="85"/>
      <c r="QJL27" s="85"/>
      <c r="QJM27" s="85"/>
      <c r="QJN27" s="85"/>
      <c r="QJO27" s="85"/>
      <c r="QJP27" s="85"/>
      <c r="QJQ27" s="85"/>
      <c r="QJR27" s="85"/>
      <c r="QJS27" s="85"/>
      <c r="QJT27" s="85"/>
      <c r="QJU27" s="85"/>
      <c r="QJV27" s="85"/>
      <c r="QJW27" s="85"/>
      <c r="QJX27" s="85"/>
      <c r="QJY27" s="85"/>
      <c r="QJZ27" s="85"/>
      <c r="QKA27" s="85"/>
      <c r="QKB27" s="85"/>
      <c r="QKC27" s="85"/>
      <c r="QKD27" s="85"/>
      <c r="QKE27" s="85"/>
      <c r="QKF27" s="85"/>
      <c r="QKG27" s="85"/>
      <c r="QKH27" s="85"/>
      <c r="QKI27" s="85"/>
      <c r="QKJ27" s="85"/>
      <c r="QKK27" s="85"/>
      <c r="QKL27" s="85"/>
      <c r="QKM27" s="85"/>
      <c r="QKN27" s="85"/>
      <c r="QKO27" s="85"/>
      <c r="QKP27" s="85"/>
      <c r="QKQ27" s="85"/>
      <c r="QKR27" s="85"/>
      <c r="QKS27" s="85"/>
      <c r="QKT27" s="85"/>
      <c r="QKU27" s="85"/>
      <c r="QKV27" s="85"/>
      <c r="QKW27" s="85"/>
      <c r="QKX27" s="85"/>
      <c r="QKY27" s="85"/>
      <c r="QKZ27" s="85"/>
      <c r="QLA27" s="85"/>
      <c r="QLB27" s="85"/>
      <c r="QLC27" s="85"/>
      <c r="QLD27" s="85"/>
      <c r="QLE27" s="85"/>
      <c r="QLF27" s="85"/>
      <c r="QLG27" s="85"/>
      <c r="QLH27" s="85"/>
      <c r="QLI27" s="85"/>
      <c r="QLJ27" s="85"/>
      <c r="QLK27" s="85"/>
      <c r="QLL27" s="85"/>
      <c r="QLM27" s="85"/>
      <c r="QLN27" s="85"/>
      <c r="QLO27" s="85"/>
      <c r="QLP27" s="85"/>
      <c r="QLQ27" s="85"/>
      <c r="QLR27" s="85"/>
      <c r="QLS27" s="85"/>
      <c r="QLT27" s="85"/>
      <c r="QLU27" s="85"/>
      <c r="QLV27" s="85"/>
      <c r="QLW27" s="85"/>
      <c r="QLX27" s="85"/>
      <c r="QLY27" s="85"/>
      <c r="QLZ27" s="85"/>
      <c r="QMA27" s="85"/>
      <c r="QMB27" s="85"/>
      <c r="QMC27" s="85"/>
      <c r="QMD27" s="85"/>
      <c r="QME27" s="85"/>
      <c r="QMF27" s="85"/>
      <c r="QMG27" s="85"/>
      <c r="QMH27" s="85"/>
      <c r="QMI27" s="85"/>
      <c r="QMJ27" s="85"/>
      <c r="QMK27" s="85"/>
      <c r="QML27" s="85"/>
      <c r="QMM27" s="85"/>
      <c r="QMN27" s="85"/>
      <c r="QMO27" s="85"/>
      <c r="QMP27" s="85"/>
      <c r="QMQ27" s="85"/>
      <c r="QMR27" s="85"/>
      <c r="QMS27" s="85"/>
      <c r="QMT27" s="85"/>
      <c r="QMU27" s="85"/>
      <c r="QMV27" s="85"/>
      <c r="QMW27" s="85"/>
      <c r="QMX27" s="85"/>
      <c r="QMY27" s="85"/>
      <c r="QMZ27" s="85"/>
      <c r="QNA27" s="85"/>
      <c r="QNB27" s="85"/>
      <c r="QNC27" s="85"/>
      <c r="QND27" s="85"/>
      <c r="QNE27" s="85"/>
      <c r="QNF27" s="85"/>
      <c r="QNG27" s="85"/>
      <c r="QNH27" s="85"/>
      <c r="QNI27" s="85"/>
      <c r="QNJ27" s="85"/>
      <c r="QNK27" s="85"/>
      <c r="QNL27" s="85"/>
      <c r="QNM27" s="85"/>
      <c r="QNN27" s="85"/>
      <c r="QNO27" s="85"/>
      <c r="QNP27" s="85"/>
      <c r="QNQ27" s="85"/>
      <c r="QNR27" s="85"/>
      <c r="QNS27" s="85"/>
      <c r="QNT27" s="85"/>
      <c r="QNU27" s="85"/>
      <c r="QNV27" s="85"/>
      <c r="QNW27" s="85"/>
      <c r="QNX27" s="85"/>
      <c r="QNY27" s="85"/>
      <c r="QNZ27" s="85"/>
      <c r="QOA27" s="85"/>
      <c r="QOB27" s="85"/>
      <c r="QOC27" s="85"/>
      <c r="QOD27" s="85"/>
      <c r="QOE27" s="85"/>
      <c r="QOF27" s="85"/>
      <c r="QOG27" s="85"/>
      <c r="QOH27" s="85"/>
      <c r="QOI27" s="85"/>
      <c r="QOJ27" s="85"/>
      <c r="QOK27" s="85"/>
      <c r="QOL27" s="85"/>
      <c r="QOM27" s="85"/>
      <c r="QON27" s="85"/>
      <c r="QOO27" s="85"/>
      <c r="QOP27" s="85"/>
      <c r="QOQ27" s="85"/>
      <c r="QOR27" s="85"/>
      <c r="QOS27" s="85"/>
      <c r="QOT27" s="85"/>
      <c r="QOU27" s="85"/>
      <c r="QOV27" s="85"/>
      <c r="QOW27" s="85"/>
      <c r="QOX27" s="85"/>
      <c r="QOY27" s="85"/>
      <c r="QOZ27" s="85"/>
      <c r="QPA27" s="85"/>
      <c r="QPB27" s="85"/>
      <c r="QPC27" s="85"/>
      <c r="QPD27" s="85"/>
      <c r="QPE27" s="85"/>
      <c r="QPF27" s="85"/>
      <c r="QPG27" s="85"/>
      <c r="QPH27" s="85"/>
      <c r="QPI27" s="85"/>
      <c r="QPJ27" s="85"/>
      <c r="QPK27" s="85"/>
      <c r="QPL27" s="85"/>
      <c r="QPM27" s="85"/>
      <c r="QPN27" s="85"/>
      <c r="QPO27" s="85"/>
      <c r="QPP27" s="85"/>
      <c r="QPQ27" s="85"/>
      <c r="QPR27" s="85"/>
      <c r="QPS27" s="85"/>
      <c r="QPT27" s="85"/>
      <c r="QPU27" s="85"/>
      <c r="QPV27" s="85"/>
      <c r="QPW27" s="85"/>
      <c r="QPX27" s="85"/>
      <c r="QPY27" s="85"/>
      <c r="QPZ27" s="85"/>
      <c r="QQA27" s="85"/>
      <c r="QQB27" s="85"/>
      <c r="QQC27" s="85"/>
      <c r="QQD27" s="85"/>
      <c r="QQE27" s="85"/>
      <c r="QQF27" s="85"/>
      <c r="QQG27" s="85"/>
      <c r="QQH27" s="85"/>
      <c r="QQI27" s="85"/>
      <c r="QQJ27" s="85"/>
      <c r="QQK27" s="85"/>
      <c r="QQL27" s="85"/>
      <c r="QQM27" s="85"/>
      <c r="QQN27" s="85"/>
      <c r="QQO27" s="85"/>
      <c r="QQP27" s="85"/>
      <c r="QQQ27" s="85"/>
      <c r="QQR27" s="85"/>
      <c r="QQS27" s="85"/>
      <c r="QQT27" s="85"/>
      <c r="QQU27" s="85"/>
      <c r="QQV27" s="85"/>
      <c r="QQW27" s="85"/>
      <c r="QQX27" s="85"/>
      <c r="QQY27" s="85"/>
      <c r="QQZ27" s="85"/>
      <c r="QRA27" s="85"/>
      <c r="QRB27" s="85"/>
      <c r="QRC27" s="85"/>
      <c r="QRD27" s="85"/>
      <c r="QRE27" s="85"/>
      <c r="QRF27" s="85"/>
      <c r="QRG27" s="85"/>
      <c r="QRH27" s="85"/>
      <c r="QRI27" s="85"/>
      <c r="QRJ27" s="85"/>
      <c r="QRK27" s="85"/>
      <c r="QRL27" s="85"/>
      <c r="QRM27" s="85"/>
      <c r="QRN27" s="85"/>
      <c r="QRO27" s="85"/>
      <c r="QRP27" s="85"/>
      <c r="QRQ27" s="85"/>
      <c r="QRR27" s="85"/>
      <c r="QRS27" s="85"/>
      <c r="QRT27" s="85"/>
      <c r="QRU27" s="85"/>
      <c r="QRV27" s="85"/>
      <c r="QRW27" s="85"/>
      <c r="QRX27" s="85"/>
      <c r="QRY27" s="85"/>
      <c r="QRZ27" s="85"/>
      <c r="QSA27" s="85"/>
      <c r="QSB27" s="85"/>
      <c r="QSC27" s="85"/>
      <c r="QSD27" s="85"/>
      <c r="QSE27" s="85"/>
      <c r="QSF27" s="85"/>
      <c r="QSG27" s="85"/>
      <c r="QSH27" s="85"/>
      <c r="QSI27" s="85"/>
      <c r="QSJ27" s="85"/>
      <c r="QSK27" s="85"/>
      <c r="QSL27" s="85"/>
      <c r="QSM27" s="85"/>
      <c r="QSN27" s="85"/>
      <c r="QSO27" s="85"/>
      <c r="QSP27" s="85"/>
      <c r="QSQ27" s="85"/>
      <c r="QSR27" s="85"/>
      <c r="QSS27" s="85"/>
      <c r="QST27" s="85"/>
      <c r="QSU27" s="85"/>
      <c r="QSV27" s="85"/>
      <c r="QSW27" s="85"/>
      <c r="QSX27" s="85"/>
      <c r="QSY27" s="85"/>
      <c r="QSZ27" s="85"/>
      <c r="QTA27" s="85"/>
      <c r="QTB27" s="85"/>
      <c r="QTC27" s="85"/>
      <c r="QTD27" s="85"/>
      <c r="QTE27" s="85"/>
      <c r="QTF27" s="85"/>
      <c r="QTG27" s="85"/>
      <c r="QTH27" s="85"/>
      <c r="QTI27" s="85"/>
      <c r="QTJ27" s="85"/>
      <c r="QTK27" s="85"/>
      <c r="QTL27" s="85"/>
      <c r="QTM27" s="85"/>
      <c r="QTN27" s="85"/>
      <c r="QTO27" s="85"/>
      <c r="QTP27" s="85"/>
      <c r="QTQ27" s="85"/>
      <c r="QTR27" s="85"/>
      <c r="QTS27" s="85"/>
      <c r="QTT27" s="85"/>
      <c r="QTU27" s="85"/>
      <c r="QTV27" s="85"/>
      <c r="QTW27" s="85"/>
      <c r="QTX27" s="85"/>
      <c r="QTY27" s="85"/>
      <c r="QTZ27" s="85"/>
      <c r="QUA27" s="85"/>
      <c r="QUB27" s="85"/>
      <c r="QUC27" s="85"/>
      <c r="QUD27" s="85"/>
      <c r="QUE27" s="85"/>
      <c r="QUF27" s="85"/>
      <c r="QUG27" s="85"/>
      <c r="QUH27" s="85"/>
      <c r="QUI27" s="85"/>
      <c r="QUJ27" s="85"/>
      <c r="QUK27" s="85"/>
      <c r="QUL27" s="85"/>
      <c r="QUM27" s="85"/>
      <c r="QUN27" s="85"/>
      <c r="QUO27" s="85"/>
      <c r="QUP27" s="85"/>
      <c r="QUQ27" s="85"/>
      <c r="QUR27" s="85"/>
      <c r="QUS27" s="85"/>
      <c r="QUT27" s="85"/>
      <c r="QUU27" s="85"/>
      <c r="QUV27" s="85"/>
      <c r="QUW27" s="85"/>
      <c r="QUX27" s="85"/>
      <c r="QUY27" s="85"/>
      <c r="QUZ27" s="85"/>
      <c r="QVA27" s="85"/>
      <c r="QVB27" s="85"/>
      <c r="QVC27" s="85"/>
      <c r="QVD27" s="85"/>
      <c r="QVE27" s="85"/>
      <c r="QVF27" s="85"/>
      <c r="QVG27" s="85"/>
      <c r="QVH27" s="85"/>
      <c r="QVI27" s="85"/>
      <c r="QVJ27" s="85"/>
      <c r="QVK27" s="85"/>
      <c r="QVL27" s="85"/>
      <c r="QVM27" s="85"/>
      <c r="QVN27" s="85"/>
      <c r="QVO27" s="85"/>
      <c r="QVP27" s="85"/>
      <c r="QVQ27" s="85"/>
      <c r="QVR27" s="85"/>
      <c r="QVS27" s="85"/>
      <c r="QVT27" s="85"/>
      <c r="QVU27" s="85"/>
      <c r="QVV27" s="85"/>
      <c r="QVW27" s="85"/>
      <c r="QVX27" s="85"/>
      <c r="QVY27" s="85"/>
      <c r="QVZ27" s="85"/>
      <c r="QWA27" s="85"/>
      <c r="QWB27" s="85"/>
      <c r="QWC27" s="85"/>
      <c r="QWD27" s="85"/>
      <c r="QWE27" s="85"/>
      <c r="QWF27" s="85"/>
      <c r="QWG27" s="85"/>
      <c r="QWH27" s="85"/>
      <c r="QWI27" s="85"/>
      <c r="QWJ27" s="85"/>
      <c r="QWK27" s="85"/>
      <c r="QWL27" s="85"/>
      <c r="QWM27" s="85"/>
      <c r="QWN27" s="85"/>
      <c r="QWO27" s="85"/>
      <c r="QWP27" s="85"/>
      <c r="QWQ27" s="85"/>
      <c r="QWR27" s="85"/>
      <c r="QWS27" s="85"/>
      <c r="QWT27" s="85"/>
      <c r="QWU27" s="85"/>
      <c r="QWV27" s="85"/>
      <c r="QWW27" s="85"/>
      <c r="QWX27" s="85"/>
      <c r="QWY27" s="85"/>
      <c r="QWZ27" s="85"/>
      <c r="QXA27" s="85"/>
      <c r="QXB27" s="85"/>
      <c r="QXC27" s="85"/>
      <c r="QXD27" s="85"/>
      <c r="QXE27" s="85"/>
      <c r="QXF27" s="85"/>
      <c r="QXG27" s="85"/>
      <c r="QXH27" s="85"/>
      <c r="QXI27" s="85"/>
      <c r="QXJ27" s="85"/>
      <c r="QXK27" s="85"/>
      <c r="QXL27" s="85"/>
      <c r="QXM27" s="85"/>
      <c r="QXN27" s="85"/>
      <c r="QXO27" s="85"/>
      <c r="QXP27" s="85"/>
      <c r="QXQ27" s="85"/>
      <c r="QXR27" s="85"/>
      <c r="QXS27" s="85"/>
      <c r="QXT27" s="85"/>
      <c r="QXU27" s="85"/>
      <c r="QXV27" s="85"/>
      <c r="QXW27" s="85"/>
      <c r="QXX27" s="85"/>
      <c r="QXY27" s="85"/>
      <c r="QXZ27" s="85"/>
      <c r="QYA27" s="85"/>
      <c r="QYB27" s="85"/>
      <c r="QYC27" s="85"/>
      <c r="QYD27" s="85"/>
      <c r="QYE27" s="85"/>
      <c r="QYF27" s="85"/>
      <c r="QYG27" s="85"/>
      <c r="QYH27" s="85"/>
      <c r="QYI27" s="85"/>
      <c r="QYJ27" s="85"/>
      <c r="QYK27" s="85"/>
      <c r="QYL27" s="85"/>
      <c r="QYM27" s="85"/>
      <c r="QYN27" s="85"/>
      <c r="QYO27" s="85"/>
      <c r="QYP27" s="85"/>
      <c r="QYQ27" s="85"/>
      <c r="QYR27" s="85"/>
      <c r="QYS27" s="85"/>
      <c r="QYT27" s="85"/>
      <c r="QYU27" s="85"/>
      <c r="QYV27" s="85"/>
      <c r="QYW27" s="85"/>
      <c r="QYX27" s="85"/>
      <c r="QYY27" s="85"/>
      <c r="QYZ27" s="85"/>
      <c r="QZA27" s="85"/>
      <c r="QZB27" s="85"/>
      <c r="QZC27" s="85"/>
      <c r="QZD27" s="85"/>
      <c r="QZE27" s="85"/>
      <c r="QZF27" s="85"/>
      <c r="QZG27" s="85"/>
      <c r="QZH27" s="85"/>
      <c r="QZI27" s="85"/>
      <c r="QZJ27" s="85"/>
      <c r="QZK27" s="85"/>
      <c r="QZL27" s="85"/>
      <c r="QZM27" s="85"/>
      <c r="QZN27" s="85"/>
      <c r="QZO27" s="85"/>
      <c r="QZP27" s="85"/>
      <c r="QZQ27" s="85"/>
      <c r="QZR27" s="85"/>
      <c r="QZS27" s="85"/>
      <c r="QZT27" s="85"/>
      <c r="QZU27" s="85"/>
      <c r="QZV27" s="85"/>
      <c r="QZW27" s="85"/>
      <c r="QZX27" s="85"/>
      <c r="QZY27" s="85"/>
      <c r="QZZ27" s="85"/>
      <c r="RAA27" s="85"/>
      <c r="RAB27" s="85"/>
      <c r="RAC27" s="85"/>
      <c r="RAD27" s="85"/>
      <c r="RAE27" s="85"/>
      <c r="RAF27" s="85"/>
      <c r="RAG27" s="85"/>
      <c r="RAH27" s="85"/>
      <c r="RAI27" s="85"/>
      <c r="RAJ27" s="85"/>
      <c r="RAK27" s="85"/>
      <c r="RAL27" s="85"/>
      <c r="RAM27" s="85"/>
      <c r="RAN27" s="85"/>
      <c r="RAO27" s="85"/>
      <c r="RAP27" s="85"/>
      <c r="RAQ27" s="85"/>
      <c r="RAR27" s="85"/>
      <c r="RAS27" s="85"/>
      <c r="RAT27" s="85"/>
      <c r="RAU27" s="85"/>
      <c r="RAV27" s="85"/>
      <c r="RAW27" s="85"/>
      <c r="RAX27" s="85"/>
      <c r="RAY27" s="85"/>
      <c r="RAZ27" s="85"/>
      <c r="RBA27" s="85"/>
      <c r="RBB27" s="85"/>
      <c r="RBC27" s="85"/>
      <c r="RBD27" s="85"/>
      <c r="RBE27" s="85"/>
      <c r="RBF27" s="85"/>
      <c r="RBG27" s="85"/>
      <c r="RBH27" s="85"/>
      <c r="RBI27" s="85"/>
      <c r="RBJ27" s="85"/>
      <c r="RBK27" s="85"/>
      <c r="RBL27" s="85"/>
      <c r="RBM27" s="85"/>
      <c r="RBN27" s="85"/>
      <c r="RBO27" s="85"/>
      <c r="RBP27" s="85"/>
      <c r="RBQ27" s="85"/>
      <c r="RBR27" s="85"/>
      <c r="RBS27" s="85"/>
      <c r="RBT27" s="85"/>
      <c r="RBU27" s="85"/>
      <c r="RBV27" s="85"/>
      <c r="RBW27" s="85"/>
      <c r="RBX27" s="85"/>
      <c r="RBY27" s="85"/>
      <c r="RBZ27" s="85"/>
      <c r="RCA27" s="85"/>
      <c r="RCB27" s="85"/>
      <c r="RCC27" s="85"/>
      <c r="RCD27" s="85"/>
      <c r="RCE27" s="85"/>
      <c r="RCF27" s="85"/>
      <c r="RCG27" s="85"/>
      <c r="RCH27" s="85"/>
      <c r="RCI27" s="85"/>
      <c r="RCJ27" s="85"/>
      <c r="RCK27" s="85"/>
      <c r="RCL27" s="85"/>
      <c r="RCM27" s="85"/>
      <c r="RCN27" s="85"/>
      <c r="RCO27" s="85"/>
      <c r="RCP27" s="85"/>
      <c r="RCQ27" s="85"/>
      <c r="RCR27" s="85"/>
      <c r="RCS27" s="85"/>
      <c r="RCT27" s="85"/>
      <c r="RCU27" s="85"/>
      <c r="RCV27" s="85"/>
      <c r="RCW27" s="85"/>
      <c r="RCX27" s="85"/>
      <c r="RCY27" s="85"/>
      <c r="RCZ27" s="85"/>
      <c r="RDA27" s="85"/>
      <c r="RDB27" s="85"/>
      <c r="RDC27" s="85"/>
      <c r="RDD27" s="85"/>
      <c r="RDE27" s="85"/>
      <c r="RDF27" s="85"/>
      <c r="RDG27" s="85"/>
      <c r="RDH27" s="85"/>
      <c r="RDI27" s="85"/>
      <c r="RDJ27" s="85"/>
      <c r="RDK27" s="85"/>
      <c r="RDL27" s="85"/>
      <c r="RDM27" s="85"/>
      <c r="RDN27" s="85"/>
      <c r="RDO27" s="85"/>
      <c r="RDP27" s="85"/>
      <c r="RDQ27" s="85"/>
      <c r="RDR27" s="85"/>
      <c r="RDS27" s="85"/>
      <c r="RDT27" s="85"/>
      <c r="RDU27" s="85"/>
      <c r="RDV27" s="85"/>
      <c r="RDW27" s="85"/>
      <c r="RDX27" s="85"/>
      <c r="RDY27" s="85"/>
      <c r="RDZ27" s="85"/>
      <c r="REA27" s="85"/>
      <c r="REB27" s="85"/>
      <c r="REC27" s="85"/>
      <c r="RED27" s="85"/>
      <c r="REE27" s="85"/>
      <c r="REF27" s="85"/>
      <c r="REG27" s="85"/>
      <c r="REH27" s="85"/>
      <c r="REI27" s="85"/>
      <c r="REJ27" s="85"/>
      <c r="REK27" s="85"/>
      <c r="REL27" s="85"/>
      <c r="REM27" s="85"/>
      <c r="REN27" s="85"/>
      <c r="REO27" s="85"/>
      <c r="REP27" s="85"/>
      <c r="REQ27" s="85"/>
      <c r="RER27" s="85"/>
      <c r="RES27" s="85"/>
      <c r="RET27" s="85"/>
      <c r="REU27" s="85"/>
      <c r="REV27" s="85"/>
      <c r="REW27" s="85"/>
      <c r="REX27" s="85"/>
      <c r="REY27" s="85"/>
      <c r="REZ27" s="85"/>
      <c r="RFA27" s="85"/>
      <c r="RFB27" s="85"/>
      <c r="RFC27" s="85"/>
      <c r="RFD27" s="85"/>
      <c r="RFE27" s="85"/>
      <c r="RFF27" s="85"/>
      <c r="RFG27" s="85"/>
      <c r="RFH27" s="85"/>
      <c r="RFI27" s="85"/>
      <c r="RFJ27" s="85"/>
      <c r="RFK27" s="85"/>
      <c r="RFL27" s="85"/>
      <c r="RFM27" s="85"/>
      <c r="RFN27" s="85"/>
      <c r="RFO27" s="85"/>
      <c r="RFP27" s="85"/>
      <c r="RFQ27" s="85"/>
      <c r="RFR27" s="85"/>
      <c r="RFS27" s="85"/>
      <c r="RFT27" s="85"/>
      <c r="RFU27" s="85"/>
      <c r="RFV27" s="85"/>
      <c r="RFW27" s="85"/>
      <c r="RFX27" s="85"/>
      <c r="RFY27" s="85"/>
      <c r="RFZ27" s="85"/>
      <c r="RGA27" s="85"/>
      <c r="RGB27" s="85"/>
      <c r="RGC27" s="85"/>
      <c r="RGD27" s="85"/>
      <c r="RGE27" s="85"/>
      <c r="RGF27" s="85"/>
      <c r="RGG27" s="85"/>
      <c r="RGH27" s="85"/>
      <c r="RGI27" s="85"/>
      <c r="RGJ27" s="85"/>
      <c r="RGK27" s="85"/>
      <c r="RGL27" s="85"/>
      <c r="RGM27" s="85"/>
      <c r="RGN27" s="85"/>
      <c r="RGO27" s="85"/>
      <c r="RGP27" s="85"/>
      <c r="RGQ27" s="85"/>
      <c r="RGR27" s="85"/>
      <c r="RGS27" s="85"/>
      <c r="RGT27" s="85"/>
      <c r="RGU27" s="85"/>
      <c r="RGV27" s="85"/>
      <c r="RGW27" s="85"/>
      <c r="RGX27" s="85"/>
      <c r="RGY27" s="85"/>
      <c r="RGZ27" s="85"/>
      <c r="RHA27" s="85"/>
      <c r="RHB27" s="85"/>
      <c r="RHC27" s="85"/>
      <c r="RHD27" s="85"/>
      <c r="RHE27" s="85"/>
      <c r="RHF27" s="85"/>
      <c r="RHG27" s="85"/>
      <c r="RHH27" s="85"/>
      <c r="RHI27" s="85"/>
      <c r="RHJ27" s="85"/>
      <c r="RHK27" s="85"/>
      <c r="RHL27" s="85"/>
      <c r="RHM27" s="85"/>
      <c r="RHN27" s="85"/>
      <c r="RHO27" s="85"/>
      <c r="RHP27" s="85"/>
      <c r="RHQ27" s="85"/>
      <c r="RHR27" s="85"/>
      <c r="RHS27" s="85"/>
      <c r="RHT27" s="85"/>
      <c r="RHU27" s="85"/>
      <c r="RHV27" s="85"/>
      <c r="RHW27" s="85"/>
      <c r="RHX27" s="85"/>
      <c r="RHY27" s="85"/>
      <c r="RHZ27" s="85"/>
      <c r="RIA27" s="85"/>
      <c r="RIB27" s="85"/>
      <c r="RIC27" s="85"/>
      <c r="RID27" s="85"/>
      <c r="RIE27" s="85"/>
      <c r="RIF27" s="85"/>
      <c r="RIG27" s="85"/>
      <c r="RIH27" s="85"/>
      <c r="RII27" s="85"/>
      <c r="RIJ27" s="85"/>
      <c r="RIK27" s="85"/>
      <c r="RIL27" s="85"/>
      <c r="RIM27" s="85"/>
      <c r="RIN27" s="85"/>
      <c r="RIO27" s="85"/>
      <c r="RIP27" s="85"/>
      <c r="RIQ27" s="85"/>
      <c r="RIR27" s="85"/>
      <c r="RIS27" s="85"/>
      <c r="RIT27" s="85"/>
      <c r="RIU27" s="85"/>
      <c r="RIV27" s="85"/>
      <c r="RIW27" s="85"/>
      <c r="RIX27" s="85"/>
      <c r="RIY27" s="85"/>
      <c r="RIZ27" s="85"/>
      <c r="RJA27" s="85"/>
      <c r="RJB27" s="85"/>
      <c r="RJC27" s="85"/>
      <c r="RJD27" s="85"/>
      <c r="RJE27" s="85"/>
      <c r="RJF27" s="85"/>
      <c r="RJG27" s="85"/>
      <c r="RJH27" s="85"/>
      <c r="RJI27" s="85"/>
      <c r="RJJ27" s="85"/>
      <c r="RJK27" s="85"/>
      <c r="RJL27" s="85"/>
      <c r="RJM27" s="85"/>
      <c r="RJN27" s="85"/>
      <c r="RJO27" s="85"/>
      <c r="RJP27" s="85"/>
      <c r="RJQ27" s="85"/>
      <c r="RJR27" s="85"/>
      <c r="RJS27" s="85"/>
      <c r="RJT27" s="85"/>
      <c r="RJU27" s="85"/>
      <c r="RJV27" s="85"/>
      <c r="RJW27" s="85"/>
      <c r="RJX27" s="85"/>
      <c r="RJY27" s="85"/>
      <c r="RJZ27" s="85"/>
      <c r="RKA27" s="85"/>
      <c r="RKB27" s="85"/>
      <c r="RKC27" s="85"/>
      <c r="RKD27" s="85"/>
      <c r="RKE27" s="85"/>
      <c r="RKF27" s="85"/>
      <c r="RKG27" s="85"/>
      <c r="RKH27" s="85"/>
      <c r="RKI27" s="85"/>
      <c r="RKJ27" s="85"/>
      <c r="RKK27" s="85"/>
      <c r="RKL27" s="85"/>
      <c r="RKM27" s="85"/>
      <c r="RKN27" s="85"/>
      <c r="RKO27" s="85"/>
      <c r="RKP27" s="85"/>
      <c r="RKQ27" s="85"/>
      <c r="RKR27" s="85"/>
      <c r="RKS27" s="85"/>
      <c r="RKT27" s="85"/>
      <c r="RKU27" s="85"/>
      <c r="RKV27" s="85"/>
      <c r="RKW27" s="85"/>
      <c r="RKX27" s="85"/>
      <c r="RKY27" s="85"/>
      <c r="RKZ27" s="85"/>
      <c r="RLA27" s="85"/>
      <c r="RLB27" s="85"/>
      <c r="RLC27" s="85"/>
      <c r="RLD27" s="85"/>
      <c r="RLE27" s="85"/>
      <c r="RLF27" s="85"/>
      <c r="RLG27" s="85"/>
      <c r="RLH27" s="85"/>
      <c r="RLI27" s="85"/>
      <c r="RLJ27" s="85"/>
      <c r="RLK27" s="85"/>
      <c r="RLL27" s="85"/>
      <c r="RLM27" s="85"/>
      <c r="RLN27" s="85"/>
      <c r="RLO27" s="85"/>
      <c r="RLP27" s="85"/>
      <c r="RLQ27" s="85"/>
      <c r="RLR27" s="85"/>
      <c r="RLS27" s="85"/>
      <c r="RLT27" s="85"/>
      <c r="RLU27" s="85"/>
      <c r="RLV27" s="85"/>
      <c r="RLW27" s="85"/>
      <c r="RLX27" s="85"/>
      <c r="RLY27" s="85"/>
      <c r="RLZ27" s="85"/>
      <c r="RMA27" s="85"/>
      <c r="RMB27" s="85"/>
      <c r="RMC27" s="85"/>
      <c r="RMD27" s="85"/>
      <c r="RME27" s="85"/>
      <c r="RMF27" s="85"/>
      <c r="RMG27" s="85"/>
      <c r="RMH27" s="85"/>
      <c r="RMI27" s="85"/>
      <c r="RMJ27" s="85"/>
      <c r="RMK27" s="85"/>
      <c r="RML27" s="85"/>
      <c r="RMM27" s="85"/>
      <c r="RMN27" s="85"/>
      <c r="RMO27" s="85"/>
      <c r="RMP27" s="85"/>
      <c r="RMQ27" s="85"/>
      <c r="RMR27" s="85"/>
      <c r="RMS27" s="85"/>
      <c r="RMT27" s="85"/>
      <c r="RMU27" s="85"/>
      <c r="RMV27" s="85"/>
      <c r="RMW27" s="85"/>
      <c r="RMX27" s="85"/>
      <c r="RMY27" s="85"/>
      <c r="RMZ27" s="85"/>
      <c r="RNA27" s="85"/>
      <c r="RNB27" s="85"/>
      <c r="RNC27" s="85"/>
      <c r="RND27" s="85"/>
      <c r="RNE27" s="85"/>
      <c r="RNF27" s="85"/>
      <c r="RNG27" s="85"/>
      <c r="RNH27" s="85"/>
      <c r="RNI27" s="85"/>
      <c r="RNJ27" s="85"/>
      <c r="RNK27" s="85"/>
      <c r="RNL27" s="85"/>
      <c r="RNM27" s="85"/>
      <c r="RNN27" s="85"/>
      <c r="RNO27" s="85"/>
      <c r="RNP27" s="85"/>
      <c r="RNQ27" s="85"/>
      <c r="RNR27" s="85"/>
      <c r="RNS27" s="85"/>
      <c r="RNT27" s="85"/>
      <c r="RNU27" s="85"/>
      <c r="RNV27" s="85"/>
      <c r="RNW27" s="85"/>
      <c r="RNX27" s="85"/>
      <c r="RNY27" s="85"/>
      <c r="RNZ27" s="85"/>
      <c r="ROA27" s="85"/>
      <c r="ROB27" s="85"/>
      <c r="ROC27" s="85"/>
      <c r="ROD27" s="85"/>
      <c r="ROE27" s="85"/>
      <c r="ROF27" s="85"/>
      <c r="ROG27" s="85"/>
      <c r="ROH27" s="85"/>
      <c r="ROI27" s="85"/>
      <c r="ROJ27" s="85"/>
      <c r="ROK27" s="85"/>
      <c r="ROL27" s="85"/>
      <c r="ROM27" s="85"/>
      <c r="RON27" s="85"/>
      <c r="ROO27" s="85"/>
      <c r="ROP27" s="85"/>
      <c r="ROQ27" s="85"/>
      <c r="ROR27" s="85"/>
      <c r="ROS27" s="85"/>
      <c r="ROT27" s="85"/>
      <c r="ROU27" s="85"/>
      <c r="ROV27" s="85"/>
      <c r="ROW27" s="85"/>
      <c r="ROX27" s="85"/>
      <c r="ROY27" s="85"/>
      <c r="ROZ27" s="85"/>
      <c r="RPA27" s="85"/>
      <c r="RPB27" s="85"/>
      <c r="RPC27" s="85"/>
      <c r="RPD27" s="85"/>
      <c r="RPE27" s="85"/>
      <c r="RPF27" s="85"/>
      <c r="RPG27" s="85"/>
      <c r="RPH27" s="85"/>
      <c r="RPI27" s="85"/>
      <c r="RPJ27" s="85"/>
      <c r="RPK27" s="85"/>
      <c r="RPL27" s="85"/>
      <c r="RPM27" s="85"/>
      <c r="RPN27" s="85"/>
      <c r="RPO27" s="85"/>
      <c r="RPP27" s="85"/>
      <c r="RPQ27" s="85"/>
      <c r="RPR27" s="85"/>
      <c r="RPS27" s="85"/>
      <c r="RPT27" s="85"/>
      <c r="RPU27" s="85"/>
      <c r="RPV27" s="85"/>
      <c r="RPW27" s="85"/>
      <c r="RPX27" s="85"/>
      <c r="RPY27" s="85"/>
      <c r="RPZ27" s="85"/>
      <c r="RQA27" s="85"/>
      <c r="RQB27" s="85"/>
      <c r="RQC27" s="85"/>
      <c r="RQD27" s="85"/>
      <c r="RQE27" s="85"/>
      <c r="RQF27" s="85"/>
      <c r="RQG27" s="85"/>
      <c r="RQH27" s="85"/>
      <c r="RQI27" s="85"/>
      <c r="RQJ27" s="85"/>
      <c r="RQK27" s="85"/>
      <c r="RQL27" s="85"/>
      <c r="RQM27" s="85"/>
      <c r="RQN27" s="85"/>
      <c r="RQO27" s="85"/>
      <c r="RQP27" s="85"/>
      <c r="RQQ27" s="85"/>
      <c r="RQR27" s="85"/>
      <c r="RQS27" s="85"/>
      <c r="RQT27" s="85"/>
      <c r="RQU27" s="85"/>
      <c r="RQV27" s="85"/>
      <c r="RQW27" s="85"/>
      <c r="RQX27" s="85"/>
      <c r="RQY27" s="85"/>
      <c r="RQZ27" s="85"/>
      <c r="RRA27" s="85"/>
      <c r="RRB27" s="85"/>
      <c r="RRC27" s="85"/>
      <c r="RRD27" s="85"/>
      <c r="RRE27" s="85"/>
      <c r="RRF27" s="85"/>
      <c r="RRG27" s="85"/>
      <c r="RRH27" s="85"/>
      <c r="RRI27" s="85"/>
      <c r="RRJ27" s="85"/>
      <c r="RRK27" s="85"/>
      <c r="RRL27" s="85"/>
      <c r="RRM27" s="85"/>
      <c r="RRN27" s="85"/>
      <c r="RRO27" s="85"/>
      <c r="RRP27" s="85"/>
      <c r="RRQ27" s="85"/>
      <c r="RRR27" s="85"/>
      <c r="RRS27" s="85"/>
      <c r="RRT27" s="85"/>
      <c r="RRU27" s="85"/>
      <c r="RRV27" s="85"/>
      <c r="RRW27" s="85"/>
      <c r="RRX27" s="85"/>
      <c r="RRY27" s="85"/>
      <c r="RRZ27" s="85"/>
      <c r="RSA27" s="85"/>
      <c r="RSB27" s="85"/>
      <c r="RSC27" s="85"/>
      <c r="RSD27" s="85"/>
      <c r="RSE27" s="85"/>
      <c r="RSF27" s="85"/>
      <c r="RSG27" s="85"/>
      <c r="RSH27" s="85"/>
      <c r="RSI27" s="85"/>
      <c r="RSJ27" s="85"/>
      <c r="RSK27" s="85"/>
      <c r="RSL27" s="85"/>
      <c r="RSM27" s="85"/>
      <c r="RSN27" s="85"/>
      <c r="RSO27" s="85"/>
      <c r="RSP27" s="85"/>
      <c r="RSQ27" s="85"/>
      <c r="RSR27" s="85"/>
      <c r="RSS27" s="85"/>
      <c r="RST27" s="85"/>
      <c r="RSU27" s="85"/>
      <c r="RSV27" s="85"/>
      <c r="RSW27" s="85"/>
      <c r="RSX27" s="85"/>
      <c r="RSY27" s="85"/>
      <c r="RSZ27" s="85"/>
      <c r="RTA27" s="85"/>
      <c r="RTB27" s="85"/>
      <c r="RTC27" s="85"/>
      <c r="RTD27" s="85"/>
      <c r="RTE27" s="85"/>
      <c r="RTF27" s="85"/>
      <c r="RTG27" s="85"/>
      <c r="RTH27" s="85"/>
      <c r="RTI27" s="85"/>
      <c r="RTJ27" s="85"/>
      <c r="RTK27" s="85"/>
      <c r="RTL27" s="85"/>
      <c r="RTM27" s="85"/>
      <c r="RTN27" s="85"/>
      <c r="RTO27" s="85"/>
      <c r="RTP27" s="85"/>
      <c r="RTQ27" s="85"/>
      <c r="RTR27" s="85"/>
      <c r="RTS27" s="85"/>
      <c r="RTT27" s="85"/>
      <c r="RTU27" s="85"/>
      <c r="RTV27" s="85"/>
      <c r="RTW27" s="85"/>
      <c r="RTX27" s="85"/>
      <c r="RTY27" s="85"/>
      <c r="RTZ27" s="85"/>
      <c r="RUA27" s="85"/>
      <c r="RUB27" s="85"/>
      <c r="RUC27" s="85"/>
      <c r="RUD27" s="85"/>
      <c r="RUE27" s="85"/>
      <c r="RUF27" s="85"/>
      <c r="RUG27" s="85"/>
      <c r="RUH27" s="85"/>
      <c r="RUI27" s="85"/>
      <c r="RUJ27" s="85"/>
      <c r="RUK27" s="85"/>
      <c r="RUL27" s="85"/>
      <c r="RUM27" s="85"/>
      <c r="RUN27" s="85"/>
      <c r="RUO27" s="85"/>
      <c r="RUP27" s="85"/>
      <c r="RUQ27" s="85"/>
      <c r="RUR27" s="85"/>
      <c r="RUS27" s="85"/>
      <c r="RUT27" s="85"/>
      <c r="RUU27" s="85"/>
      <c r="RUV27" s="85"/>
      <c r="RUW27" s="85"/>
      <c r="RUX27" s="85"/>
      <c r="RUY27" s="85"/>
      <c r="RUZ27" s="85"/>
      <c r="RVA27" s="85"/>
      <c r="RVB27" s="85"/>
      <c r="RVC27" s="85"/>
      <c r="RVD27" s="85"/>
      <c r="RVE27" s="85"/>
      <c r="RVF27" s="85"/>
      <c r="RVG27" s="85"/>
      <c r="RVH27" s="85"/>
      <c r="RVI27" s="85"/>
      <c r="RVJ27" s="85"/>
      <c r="RVK27" s="85"/>
      <c r="RVL27" s="85"/>
      <c r="RVM27" s="85"/>
      <c r="RVN27" s="85"/>
      <c r="RVO27" s="85"/>
      <c r="RVP27" s="85"/>
      <c r="RVQ27" s="85"/>
      <c r="RVR27" s="85"/>
      <c r="RVS27" s="85"/>
      <c r="RVT27" s="85"/>
      <c r="RVU27" s="85"/>
      <c r="RVV27" s="85"/>
      <c r="RVW27" s="85"/>
      <c r="RVX27" s="85"/>
      <c r="RVY27" s="85"/>
      <c r="RVZ27" s="85"/>
      <c r="RWA27" s="85"/>
      <c r="RWB27" s="85"/>
      <c r="RWC27" s="85"/>
      <c r="RWD27" s="85"/>
      <c r="RWE27" s="85"/>
      <c r="RWF27" s="85"/>
      <c r="RWG27" s="85"/>
      <c r="RWH27" s="85"/>
      <c r="RWI27" s="85"/>
      <c r="RWJ27" s="85"/>
      <c r="RWK27" s="85"/>
      <c r="RWL27" s="85"/>
      <c r="RWM27" s="85"/>
      <c r="RWN27" s="85"/>
      <c r="RWO27" s="85"/>
      <c r="RWP27" s="85"/>
      <c r="RWQ27" s="85"/>
      <c r="RWR27" s="85"/>
      <c r="RWS27" s="85"/>
      <c r="RWT27" s="85"/>
      <c r="RWU27" s="85"/>
      <c r="RWV27" s="85"/>
      <c r="RWW27" s="85"/>
      <c r="RWX27" s="85"/>
      <c r="RWY27" s="85"/>
      <c r="RWZ27" s="85"/>
      <c r="RXA27" s="85"/>
      <c r="RXB27" s="85"/>
      <c r="RXC27" s="85"/>
      <c r="RXD27" s="85"/>
      <c r="RXE27" s="85"/>
      <c r="RXF27" s="85"/>
      <c r="RXG27" s="85"/>
      <c r="RXH27" s="85"/>
      <c r="RXI27" s="85"/>
      <c r="RXJ27" s="85"/>
      <c r="RXK27" s="85"/>
      <c r="RXL27" s="85"/>
      <c r="RXM27" s="85"/>
      <c r="RXN27" s="85"/>
      <c r="RXO27" s="85"/>
      <c r="RXP27" s="85"/>
      <c r="RXQ27" s="85"/>
      <c r="RXR27" s="85"/>
      <c r="RXS27" s="85"/>
      <c r="RXT27" s="85"/>
      <c r="RXU27" s="85"/>
      <c r="RXV27" s="85"/>
      <c r="RXW27" s="85"/>
      <c r="RXX27" s="85"/>
      <c r="RXY27" s="85"/>
      <c r="RXZ27" s="85"/>
      <c r="RYA27" s="85"/>
      <c r="RYB27" s="85"/>
      <c r="RYC27" s="85"/>
      <c r="RYD27" s="85"/>
      <c r="RYE27" s="85"/>
      <c r="RYF27" s="85"/>
      <c r="RYG27" s="85"/>
      <c r="RYH27" s="85"/>
      <c r="RYI27" s="85"/>
      <c r="RYJ27" s="85"/>
      <c r="RYK27" s="85"/>
      <c r="RYL27" s="85"/>
      <c r="RYM27" s="85"/>
      <c r="RYN27" s="85"/>
      <c r="RYO27" s="85"/>
      <c r="RYP27" s="85"/>
      <c r="RYQ27" s="85"/>
      <c r="RYR27" s="85"/>
      <c r="RYS27" s="85"/>
      <c r="RYT27" s="85"/>
      <c r="RYU27" s="85"/>
      <c r="RYV27" s="85"/>
      <c r="RYW27" s="85"/>
      <c r="RYX27" s="85"/>
      <c r="RYY27" s="85"/>
      <c r="RYZ27" s="85"/>
      <c r="RZA27" s="85"/>
      <c r="RZB27" s="85"/>
      <c r="RZC27" s="85"/>
      <c r="RZD27" s="85"/>
      <c r="RZE27" s="85"/>
      <c r="RZF27" s="85"/>
      <c r="RZG27" s="85"/>
      <c r="RZH27" s="85"/>
      <c r="RZI27" s="85"/>
      <c r="RZJ27" s="85"/>
      <c r="RZK27" s="85"/>
      <c r="RZL27" s="85"/>
      <c r="RZM27" s="85"/>
      <c r="RZN27" s="85"/>
      <c r="RZO27" s="85"/>
      <c r="RZP27" s="85"/>
      <c r="RZQ27" s="85"/>
      <c r="RZR27" s="85"/>
      <c r="RZS27" s="85"/>
      <c r="RZT27" s="85"/>
      <c r="RZU27" s="85"/>
      <c r="RZV27" s="85"/>
      <c r="RZW27" s="85"/>
      <c r="RZX27" s="85"/>
      <c r="RZY27" s="85"/>
      <c r="RZZ27" s="85"/>
      <c r="SAA27" s="85"/>
      <c r="SAB27" s="85"/>
      <c r="SAC27" s="85"/>
      <c r="SAD27" s="85"/>
      <c r="SAE27" s="85"/>
      <c r="SAF27" s="85"/>
      <c r="SAG27" s="85"/>
      <c r="SAH27" s="85"/>
      <c r="SAI27" s="85"/>
      <c r="SAJ27" s="85"/>
      <c r="SAK27" s="85"/>
      <c r="SAL27" s="85"/>
      <c r="SAM27" s="85"/>
      <c r="SAN27" s="85"/>
      <c r="SAO27" s="85"/>
      <c r="SAP27" s="85"/>
      <c r="SAQ27" s="85"/>
      <c r="SAR27" s="85"/>
      <c r="SAS27" s="85"/>
      <c r="SAT27" s="85"/>
      <c r="SAU27" s="85"/>
      <c r="SAV27" s="85"/>
      <c r="SAW27" s="85"/>
      <c r="SAX27" s="85"/>
      <c r="SAY27" s="85"/>
      <c r="SAZ27" s="85"/>
      <c r="SBA27" s="85"/>
      <c r="SBB27" s="85"/>
      <c r="SBC27" s="85"/>
      <c r="SBD27" s="85"/>
      <c r="SBE27" s="85"/>
      <c r="SBF27" s="85"/>
      <c r="SBG27" s="85"/>
      <c r="SBH27" s="85"/>
      <c r="SBI27" s="85"/>
      <c r="SBJ27" s="85"/>
      <c r="SBK27" s="85"/>
      <c r="SBL27" s="85"/>
      <c r="SBM27" s="85"/>
      <c r="SBN27" s="85"/>
      <c r="SBO27" s="85"/>
      <c r="SBP27" s="85"/>
      <c r="SBQ27" s="85"/>
      <c r="SBR27" s="85"/>
      <c r="SBS27" s="85"/>
      <c r="SBT27" s="85"/>
      <c r="SBU27" s="85"/>
      <c r="SBV27" s="85"/>
      <c r="SBW27" s="85"/>
      <c r="SBX27" s="85"/>
      <c r="SBY27" s="85"/>
      <c r="SBZ27" s="85"/>
      <c r="SCA27" s="85"/>
      <c r="SCB27" s="85"/>
      <c r="SCC27" s="85"/>
      <c r="SCD27" s="85"/>
      <c r="SCE27" s="85"/>
      <c r="SCF27" s="85"/>
      <c r="SCG27" s="85"/>
      <c r="SCH27" s="85"/>
      <c r="SCI27" s="85"/>
      <c r="SCJ27" s="85"/>
      <c r="SCK27" s="85"/>
      <c r="SCL27" s="85"/>
      <c r="SCM27" s="85"/>
      <c r="SCN27" s="85"/>
      <c r="SCO27" s="85"/>
      <c r="SCP27" s="85"/>
      <c r="SCQ27" s="85"/>
      <c r="SCR27" s="85"/>
      <c r="SCS27" s="85"/>
      <c r="SCT27" s="85"/>
      <c r="SCU27" s="85"/>
      <c r="SCV27" s="85"/>
      <c r="SCW27" s="85"/>
      <c r="SCX27" s="85"/>
      <c r="SCY27" s="85"/>
      <c r="SCZ27" s="85"/>
      <c r="SDA27" s="85"/>
      <c r="SDB27" s="85"/>
      <c r="SDC27" s="85"/>
      <c r="SDD27" s="85"/>
      <c r="SDE27" s="85"/>
      <c r="SDF27" s="85"/>
      <c r="SDG27" s="85"/>
      <c r="SDH27" s="85"/>
      <c r="SDI27" s="85"/>
      <c r="SDJ27" s="85"/>
      <c r="SDK27" s="85"/>
      <c r="SDL27" s="85"/>
      <c r="SDM27" s="85"/>
      <c r="SDN27" s="85"/>
      <c r="SDO27" s="85"/>
      <c r="SDP27" s="85"/>
      <c r="SDQ27" s="85"/>
      <c r="SDR27" s="85"/>
      <c r="SDS27" s="85"/>
      <c r="SDT27" s="85"/>
      <c r="SDU27" s="85"/>
      <c r="SDV27" s="85"/>
      <c r="SDW27" s="85"/>
      <c r="SDX27" s="85"/>
      <c r="SDY27" s="85"/>
      <c r="SDZ27" s="85"/>
      <c r="SEA27" s="85"/>
      <c r="SEB27" s="85"/>
      <c r="SEC27" s="85"/>
      <c r="SED27" s="85"/>
      <c r="SEE27" s="85"/>
      <c r="SEF27" s="85"/>
      <c r="SEG27" s="85"/>
      <c r="SEH27" s="85"/>
      <c r="SEI27" s="85"/>
      <c r="SEJ27" s="85"/>
      <c r="SEK27" s="85"/>
      <c r="SEL27" s="85"/>
      <c r="SEM27" s="85"/>
      <c r="SEN27" s="85"/>
      <c r="SEO27" s="85"/>
      <c r="SEP27" s="85"/>
      <c r="SEQ27" s="85"/>
      <c r="SER27" s="85"/>
      <c r="SES27" s="85"/>
      <c r="SET27" s="85"/>
      <c r="SEU27" s="85"/>
      <c r="SEV27" s="85"/>
      <c r="SEW27" s="85"/>
      <c r="SEX27" s="85"/>
      <c r="SEY27" s="85"/>
      <c r="SEZ27" s="85"/>
      <c r="SFA27" s="85"/>
      <c r="SFB27" s="85"/>
      <c r="SFC27" s="85"/>
      <c r="SFD27" s="85"/>
      <c r="SFE27" s="85"/>
      <c r="SFF27" s="85"/>
      <c r="SFG27" s="85"/>
      <c r="SFH27" s="85"/>
      <c r="SFI27" s="85"/>
      <c r="SFJ27" s="85"/>
      <c r="SFK27" s="85"/>
      <c r="SFL27" s="85"/>
      <c r="SFM27" s="85"/>
      <c r="SFN27" s="85"/>
      <c r="SFO27" s="85"/>
      <c r="SFP27" s="85"/>
      <c r="SFQ27" s="85"/>
      <c r="SFR27" s="85"/>
      <c r="SFS27" s="85"/>
      <c r="SFT27" s="85"/>
      <c r="SFU27" s="85"/>
      <c r="SFV27" s="85"/>
      <c r="SFW27" s="85"/>
      <c r="SFX27" s="85"/>
      <c r="SFY27" s="85"/>
      <c r="SFZ27" s="85"/>
      <c r="SGA27" s="85"/>
      <c r="SGB27" s="85"/>
      <c r="SGC27" s="85"/>
      <c r="SGD27" s="85"/>
      <c r="SGE27" s="85"/>
      <c r="SGF27" s="85"/>
      <c r="SGG27" s="85"/>
      <c r="SGH27" s="85"/>
      <c r="SGI27" s="85"/>
      <c r="SGJ27" s="85"/>
      <c r="SGK27" s="85"/>
      <c r="SGL27" s="85"/>
      <c r="SGM27" s="85"/>
      <c r="SGN27" s="85"/>
      <c r="SGO27" s="85"/>
      <c r="SGP27" s="85"/>
      <c r="SGQ27" s="85"/>
      <c r="SGR27" s="85"/>
      <c r="SGS27" s="85"/>
      <c r="SGT27" s="85"/>
      <c r="SGU27" s="85"/>
      <c r="SGV27" s="85"/>
      <c r="SGW27" s="85"/>
      <c r="SGX27" s="85"/>
      <c r="SGY27" s="85"/>
      <c r="SGZ27" s="85"/>
      <c r="SHA27" s="85"/>
      <c r="SHB27" s="85"/>
      <c r="SHC27" s="85"/>
      <c r="SHD27" s="85"/>
      <c r="SHE27" s="85"/>
      <c r="SHF27" s="85"/>
      <c r="SHG27" s="85"/>
      <c r="SHH27" s="85"/>
      <c r="SHI27" s="85"/>
      <c r="SHJ27" s="85"/>
      <c r="SHK27" s="85"/>
      <c r="SHL27" s="85"/>
      <c r="SHM27" s="85"/>
      <c r="SHN27" s="85"/>
      <c r="SHO27" s="85"/>
      <c r="SHP27" s="85"/>
      <c r="SHQ27" s="85"/>
      <c r="SHR27" s="85"/>
      <c r="SHS27" s="85"/>
      <c r="SHT27" s="85"/>
      <c r="SHU27" s="85"/>
      <c r="SHV27" s="85"/>
      <c r="SHW27" s="85"/>
      <c r="SHX27" s="85"/>
      <c r="SHY27" s="85"/>
      <c r="SHZ27" s="85"/>
      <c r="SIA27" s="85"/>
      <c r="SIB27" s="85"/>
      <c r="SIC27" s="85"/>
      <c r="SID27" s="85"/>
      <c r="SIE27" s="85"/>
      <c r="SIF27" s="85"/>
      <c r="SIG27" s="85"/>
      <c r="SIH27" s="85"/>
      <c r="SII27" s="85"/>
      <c r="SIJ27" s="85"/>
      <c r="SIK27" s="85"/>
      <c r="SIL27" s="85"/>
      <c r="SIM27" s="85"/>
      <c r="SIN27" s="85"/>
      <c r="SIO27" s="85"/>
      <c r="SIP27" s="85"/>
      <c r="SIQ27" s="85"/>
      <c r="SIR27" s="85"/>
      <c r="SIS27" s="85"/>
      <c r="SIT27" s="85"/>
      <c r="SIU27" s="85"/>
      <c r="SIV27" s="85"/>
      <c r="SIW27" s="85"/>
      <c r="SIX27" s="85"/>
      <c r="SIY27" s="85"/>
      <c r="SIZ27" s="85"/>
      <c r="SJA27" s="85"/>
      <c r="SJB27" s="85"/>
      <c r="SJC27" s="85"/>
      <c r="SJD27" s="85"/>
      <c r="SJE27" s="85"/>
      <c r="SJF27" s="85"/>
      <c r="SJG27" s="85"/>
      <c r="SJH27" s="85"/>
      <c r="SJI27" s="85"/>
      <c r="SJJ27" s="85"/>
      <c r="SJK27" s="85"/>
      <c r="SJL27" s="85"/>
      <c r="SJM27" s="85"/>
      <c r="SJN27" s="85"/>
      <c r="SJO27" s="85"/>
      <c r="SJP27" s="85"/>
      <c r="SJQ27" s="85"/>
      <c r="SJR27" s="85"/>
      <c r="SJS27" s="85"/>
      <c r="SJT27" s="85"/>
      <c r="SJU27" s="85"/>
      <c r="SJV27" s="85"/>
      <c r="SJW27" s="85"/>
      <c r="SJX27" s="85"/>
      <c r="SJY27" s="85"/>
      <c r="SJZ27" s="85"/>
      <c r="SKA27" s="85"/>
      <c r="SKB27" s="85"/>
      <c r="SKC27" s="85"/>
      <c r="SKD27" s="85"/>
      <c r="SKE27" s="85"/>
      <c r="SKF27" s="85"/>
      <c r="SKG27" s="85"/>
      <c r="SKH27" s="85"/>
      <c r="SKI27" s="85"/>
      <c r="SKJ27" s="85"/>
      <c r="SKK27" s="85"/>
      <c r="SKL27" s="85"/>
      <c r="SKM27" s="85"/>
      <c r="SKN27" s="85"/>
      <c r="SKO27" s="85"/>
      <c r="SKP27" s="85"/>
      <c r="SKQ27" s="85"/>
      <c r="SKR27" s="85"/>
      <c r="SKS27" s="85"/>
      <c r="SKT27" s="85"/>
      <c r="SKU27" s="85"/>
      <c r="SKV27" s="85"/>
      <c r="SKW27" s="85"/>
      <c r="SKX27" s="85"/>
      <c r="SKY27" s="85"/>
      <c r="SKZ27" s="85"/>
      <c r="SLA27" s="85"/>
      <c r="SLB27" s="85"/>
      <c r="SLC27" s="85"/>
      <c r="SLD27" s="85"/>
      <c r="SLE27" s="85"/>
      <c r="SLF27" s="85"/>
      <c r="SLG27" s="85"/>
      <c r="SLH27" s="85"/>
      <c r="SLI27" s="85"/>
      <c r="SLJ27" s="85"/>
      <c r="SLK27" s="85"/>
      <c r="SLL27" s="85"/>
      <c r="SLM27" s="85"/>
      <c r="SLN27" s="85"/>
      <c r="SLO27" s="85"/>
      <c r="SLP27" s="85"/>
      <c r="SLQ27" s="85"/>
      <c r="SLR27" s="85"/>
      <c r="SLS27" s="85"/>
      <c r="SLT27" s="85"/>
      <c r="SLU27" s="85"/>
      <c r="SLV27" s="85"/>
      <c r="SLW27" s="85"/>
      <c r="SLX27" s="85"/>
      <c r="SLY27" s="85"/>
      <c r="SLZ27" s="85"/>
      <c r="SMA27" s="85"/>
      <c r="SMB27" s="85"/>
      <c r="SMC27" s="85"/>
      <c r="SMD27" s="85"/>
      <c r="SME27" s="85"/>
      <c r="SMF27" s="85"/>
      <c r="SMG27" s="85"/>
      <c r="SMH27" s="85"/>
      <c r="SMI27" s="85"/>
      <c r="SMJ27" s="85"/>
      <c r="SMK27" s="85"/>
      <c r="SML27" s="85"/>
      <c r="SMM27" s="85"/>
      <c r="SMN27" s="85"/>
      <c r="SMO27" s="85"/>
      <c r="SMP27" s="85"/>
      <c r="SMQ27" s="85"/>
      <c r="SMR27" s="85"/>
      <c r="SMS27" s="85"/>
      <c r="SMT27" s="85"/>
      <c r="SMU27" s="85"/>
      <c r="SMV27" s="85"/>
      <c r="SMW27" s="85"/>
      <c r="SMX27" s="85"/>
      <c r="SMY27" s="85"/>
      <c r="SMZ27" s="85"/>
      <c r="SNA27" s="85"/>
      <c r="SNB27" s="85"/>
      <c r="SNC27" s="85"/>
      <c r="SND27" s="85"/>
      <c r="SNE27" s="85"/>
      <c r="SNF27" s="85"/>
      <c r="SNG27" s="85"/>
      <c r="SNH27" s="85"/>
      <c r="SNI27" s="85"/>
      <c r="SNJ27" s="85"/>
      <c r="SNK27" s="85"/>
      <c r="SNL27" s="85"/>
      <c r="SNM27" s="85"/>
      <c r="SNN27" s="85"/>
      <c r="SNO27" s="85"/>
      <c r="SNP27" s="85"/>
      <c r="SNQ27" s="85"/>
      <c r="SNR27" s="85"/>
      <c r="SNS27" s="85"/>
      <c r="SNT27" s="85"/>
      <c r="SNU27" s="85"/>
      <c r="SNV27" s="85"/>
      <c r="SNW27" s="85"/>
      <c r="SNX27" s="85"/>
      <c r="SNY27" s="85"/>
      <c r="SNZ27" s="85"/>
      <c r="SOA27" s="85"/>
      <c r="SOB27" s="85"/>
      <c r="SOC27" s="85"/>
      <c r="SOD27" s="85"/>
      <c r="SOE27" s="85"/>
      <c r="SOF27" s="85"/>
      <c r="SOG27" s="85"/>
      <c r="SOH27" s="85"/>
      <c r="SOI27" s="85"/>
      <c r="SOJ27" s="85"/>
      <c r="SOK27" s="85"/>
      <c r="SOL27" s="85"/>
      <c r="SOM27" s="85"/>
      <c r="SON27" s="85"/>
      <c r="SOO27" s="85"/>
      <c r="SOP27" s="85"/>
      <c r="SOQ27" s="85"/>
      <c r="SOR27" s="85"/>
      <c r="SOS27" s="85"/>
      <c r="SOT27" s="85"/>
      <c r="SOU27" s="85"/>
      <c r="SOV27" s="85"/>
      <c r="SOW27" s="85"/>
      <c r="SOX27" s="85"/>
      <c r="SOY27" s="85"/>
      <c r="SOZ27" s="85"/>
      <c r="SPA27" s="85"/>
      <c r="SPB27" s="85"/>
      <c r="SPC27" s="85"/>
      <c r="SPD27" s="85"/>
      <c r="SPE27" s="85"/>
      <c r="SPF27" s="85"/>
      <c r="SPG27" s="85"/>
      <c r="SPH27" s="85"/>
      <c r="SPI27" s="85"/>
      <c r="SPJ27" s="85"/>
      <c r="SPK27" s="85"/>
      <c r="SPL27" s="85"/>
      <c r="SPM27" s="85"/>
      <c r="SPN27" s="85"/>
      <c r="SPO27" s="85"/>
      <c r="SPP27" s="85"/>
      <c r="SPQ27" s="85"/>
      <c r="SPR27" s="85"/>
      <c r="SPS27" s="85"/>
      <c r="SPT27" s="85"/>
      <c r="SPU27" s="85"/>
      <c r="SPV27" s="85"/>
      <c r="SPW27" s="85"/>
      <c r="SPX27" s="85"/>
      <c r="SPY27" s="85"/>
      <c r="SPZ27" s="85"/>
      <c r="SQA27" s="85"/>
      <c r="SQB27" s="85"/>
      <c r="SQC27" s="85"/>
      <c r="SQD27" s="85"/>
      <c r="SQE27" s="85"/>
      <c r="SQF27" s="85"/>
      <c r="SQG27" s="85"/>
      <c r="SQH27" s="85"/>
      <c r="SQI27" s="85"/>
      <c r="SQJ27" s="85"/>
      <c r="SQK27" s="85"/>
      <c r="SQL27" s="85"/>
      <c r="SQM27" s="85"/>
      <c r="SQN27" s="85"/>
      <c r="SQO27" s="85"/>
      <c r="SQP27" s="85"/>
      <c r="SQQ27" s="85"/>
      <c r="SQR27" s="85"/>
      <c r="SQS27" s="85"/>
      <c r="SQT27" s="85"/>
      <c r="SQU27" s="85"/>
      <c r="SQV27" s="85"/>
      <c r="SQW27" s="85"/>
      <c r="SQX27" s="85"/>
      <c r="SQY27" s="85"/>
      <c r="SQZ27" s="85"/>
      <c r="SRA27" s="85"/>
      <c r="SRB27" s="85"/>
      <c r="SRC27" s="85"/>
      <c r="SRD27" s="85"/>
      <c r="SRE27" s="85"/>
      <c r="SRF27" s="85"/>
      <c r="SRG27" s="85"/>
      <c r="SRH27" s="85"/>
      <c r="SRI27" s="85"/>
      <c r="SRJ27" s="85"/>
      <c r="SRK27" s="85"/>
      <c r="SRL27" s="85"/>
      <c r="SRM27" s="85"/>
      <c r="SRN27" s="85"/>
      <c r="SRO27" s="85"/>
      <c r="SRP27" s="85"/>
      <c r="SRQ27" s="85"/>
      <c r="SRR27" s="85"/>
      <c r="SRS27" s="85"/>
      <c r="SRT27" s="85"/>
      <c r="SRU27" s="85"/>
      <c r="SRV27" s="85"/>
      <c r="SRW27" s="85"/>
      <c r="SRX27" s="85"/>
      <c r="SRY27" s="85"/>
      <c r="SRZ27" s="85"/>
      <c r="SSA27" s="85"/>
      <c r="SSB27" s="85"/>
      <c r="SSC27" s="85"/>
      <c r="SSD27" s="85"/>
      <c r="SSE27" s="85"/>
      <c r="SSF27" s="85"/>
      <c r="SSG27" s="85"/>
      <c r="SSH27" s="85"/>
      <c r="SSI27" s="85"/>
      <c r="SSJ27" s="85"/>
      <c r="SSK27" s="85"/>
      <c r="SSL27" s="85"/>
      <c r="SSM27" s="85"/>
      <c r="SSN27" s="85"/>
      <c r="SSO27" s="85"/>
      <c r="SSP27" s="85"/>
      <c r="SSQ27" s="85"/>
      <c r="SSR27" s="85"/>
      <c r="SSS27" s="85"/>
      <c r="SST27" s="85"/>
      <c r="SSU27" s="85"/>
      <c r="SSV27" s="85"/>
      <c r="SSW27" s="85"/>
      <c r="SSX27" s="85"/>
      <c r="SSY27" s="85"/>
      <c r="SSZ27" s="85"/>
      <c r="STA27" s="85"/>
      <c r="STB27" s="85"/>
      <c r="STC27" s="85"/>
      <c r="STD27" s="85"/>
      <c r="STE27" s="85"/>
      <c r="STF27" s="85"/>
      <c r="STG27" s="85"/>
      <c r="STH27" s="85"/>
      <c r="STI27" s="85"/>
      <c r="STJ27" s="85"/>
      <c r="STK27" s="85"/>
      <c r="STL27" s="85"/>
      <c r="STM27" s="85"/>
      <c r="STN27" s="85"/>
      <c r="STO27" s="85"/>
      <c r="STP27" s="85"/>
      <c r="STQ27" s="85"/>
      <c r="STR27" s="85"/>
      <c r="STS27" s="85"/>
      <c r="STT27" s="85"/>
      <c r="STU27" s="85"/>
      <c r="STV27" s="85"/>
      <c r="STW27" s="85"/>
      <c r="STX27" s="85"/>
      <c r="STY27" s="85"/>
      <c r="STZ27" s="85"/>
      <c r="SUA27" s="85"/>
      <c r="SUB27" s="85"/>
      <c r="SUC27" s="85"/>
      <c r="SUD27" s="85"/>
      <c r="SUE27" s="85"/>
      <c r="SUF27" s="85"/>
      <c r="SUG27" s="85"/>
      <c r="SUH27" s="85"/>
      <c r="SUI27" s="85"/>
      <c r="SUJ27" s="85"/>
      <c r="SUK27" s="85"/>
      <c r="SUL27" s="85"/>
      <c r="SUM27" s="85"/>
      <c r="SUN27" s="85"/>
      <c r="SUO27" s="85"/>
      <c r="SUP27" s="85"/>
      <c r="SUQ27" s="85"/>
      <c r="SUR27" s="85"/>
      <c r="SUS27" s="85"/>
      <c r="SUT27" s="85"/>
      <c r="SUU27" s="85"/>
      <c r="SUV27" s="85"/>
      <c r="SUW27" s="85"/>
      <c r="SUX27" s="85"/>
      <c r="SUY27" s="85"/>
      <c r="SUZ27" s="85"/>
      <c r="SVA27" s="85"/>
      <c r="SVB27" s="85"/>
      <c r="SVC27" s="85"/>
      <c r="SVD27" s="85"/>
      <c r="SVE27" s="85"/>
      <c r="SVF27" s="85"/>
      <c r="SVG27" s="85"/>
      <c r="SVH27" s="85"/>
      <c r="SVI27" s="85"/>
      <c r="SVJ27" s="85"/>
      <c r="SVK27" s="85"/>
      <c r="SVL27" s="85"/>
      <c r="SVM27" s="85"/>
      <c r="SVN27" s="85"/>
      <c r="SVO27" s="85"/>
      <c r="SVP27" s="85"/>
      <c r="SVQ27" s="85"/>
      <c r="SVR27" s="85"/>
      <c r="SVS27" s="85"/>
      <c r="SVT27" s="85"/>
      <c r="SVU27" s="85"/>
      <c r="SVV27" s="85"/>
      <c r="SVW27" s="85"/>
      <c r="SVX27" s="85"/>
      <c r="SVY27" s="85"/>
      <c r="SVZ27" s="85"/>
      <c r="SWA27" s="85"/>
      <c r="SWB27" s="85"/>
      <c r="SWC27" s="85"/>
      <c r="SWD27" s="85"/>
      <c r="SWE27" s="85"/>
      <c r="SWF27" s="85"/>
      <c r="SWG27" s="85"/>
      <c r="SWH27" s="85"/>
      <c r="SWI27" s="85"/>
      <c r="SWJ27" s="85"/>
      <c r="SWK27" s="85"/>
      <c r="SWL27" s="85"/>
      <c r="SWM27" s="85"/>
      <c r="SWN27" s="85"/>
      <c r="SWO27" s="85"/>
      <c r="SWP27" s="85"/>
      <c r="SWQ27" s="85"/>
      <c r="SWR27" s="85"/>
      <c r="SWS27" s="85"/>
      <c r="SWT27" s="85"/>
      <c r="SWU27" s="85"/>
      <c r="SWV27" s="85"/>
      <c r="SWW27" s="85"/>
      <c r="SWX27" s="85"/>
      <c r="SWY27" s="85"/>
      <c r="SWZ27" s="85"/>
      <c r="SXA27" s="85"/>
      <c r="SXB27" s="85"/>
      <c r="SXC27" s="85"/>
      <c r="SXD27" s="85"/>
      <c r="SXE27" s="85"/>
      <c r="SXF27" s="85"/>
      <c r="SXG27" s="85"/>
      <c r="SXH27" s="85"/>
      <c r="SXI27" s="85"/>
      <c r="SXJ27" s="85"/>
      <c r="SXK27" s="85"/>
      <c r="SXL27" s="85"/>
      <c r="SXM27" s="85"/>
      <c r="SXN27" s="85"/>
      <c r="SXO27" s="85"/>
      <c r="SXP27" s="85"/>
      <c r="SXQ27" s="85"/>
      <c r="SXR27" s="85"/>
      <c r="SXS27" s="85"/>
      <c r="SXT27" s="85"/>
      <c r="SXU27" s="85"/>
      <c r="SXV27" s="85"/>
      <c r="SXW27" s="85"/>
      <c r="SXX27" s="85"/>
      <c r="SXY27" s="85"/>
      <c r="SXZ27" s="85"/>
      <c r="SYA27" s="85"/>
      <c r="SYB27" s="85"/>
      <c r="SYC27" s="85"/>
      <c r="SYD27" s="85"/>
      <c r="SYE27" s="85"/>
      <c r="SYF27" s="85"/>
      <c r="SYG27" s="85"/>
      <c r="SYH27" s="85"/>
      <c r="SYI27" s="85"/>
      <c r="SYJ27" s="85"/>
      <c r="SYK27" s="85"/>
      <c r="SYL27" s="85"/>
      <c r="SYM27" s="85"/>
      <c r="SYN27" s="85"/>
      <c r="SYO27" s="85"/>
      <c r="SYP27" s="85"/>
      <c r="SYQ27" s="85"/>
      <c r="SYR27" s="85"/>
      <c r="SYS27" s="85"/>
      <c r="SYT27" s="85"/>
      <c r="SYU27" s="85"/>
      <c r="SYV27" s="85"/>
      <c r="SYW27" s="85"/>
      <c r="SYX27" s="85"/>
      <c r="SYY27" s="85"/>
      <c r="SYZ27" s="85"/>
      <c r="SZA27" s="85"/>
      <c r="SZB27" s="85"/>
      <c r="SZC27" s="85"/>
      <c r="SZD27" s="85"/>
      <c r="SZE27" s="85"/>
      <c r="SZF27" s="85"/>
      <c r="SZG27" s="85"/>
      <c r="SZH27" s="85"/>
      <c r="SZI27" s="85"/>
      <c r="SZJ27" s="85"/>
      <c r="SZK27" s="85"/>
      <c r="SZL27" s="85"/>
      <c r="SZM27" s="85"/>
      <c r="SZN27" s="85"/>
      <c r="SZO27" s="85"/>
      <c r="SZP27" s="85"/>
      <c r="SZQ27" s="85"/>
      <c r="SZR27" s="85"/>
      <c r="SZS27" s="85"/>
      <c r="SZT27" s="85"/>
      <c r="SZU27" s="85"/>
      <c r="SZV27" s="85"/>
      <c r="SZW27" s="85"/>
      <c r="SZX27" s="85"/>
      <c r="SZY27" s="85"/>
      <c r="SZZ27" s="85"/>
      <c r="TAA27" s="85"/>
      <c r="TAB27" s="85"/>
      <c r="TAC27" s="85"/>
      <c r="TAD27" s="85"/>
      <c r="TAE27" s="85"/>
      <c r="TAF27" s="85"/>
      <c r="TAG27" s="85"/>
      <c r="TAH27" s="85"/>
      <c r="TAI27" s="85"/>
      <c r="TAJ27" s="85"/>
      <c r="TAK27" s="85"/>
      <c r="TAL27" s="85"/>
      <c r="TAM27" s="85"/>
      <c r="TAN27" s="85"/>
      <c r="TAO27" s="85"/>
      <c r="TAP27" s="85"/>
      <c r="TAQ27" s="85"/>
      <c r="TAR27" s="85"/>
      <c r="TAS27" s="85"/>
      <c r="TAT27" s="85"/>
      <c r="TAU27" s="85"/>
      <c r="TAV27" s="85"/>
      <c r="TAW27" s="85"/>
      <c r="TAX27" s="85"/>
      <c r="TAY27" s="85"/>
      <c r="TAZ27" s="85"/>
      <c r="TBA27" s="85"/>
      <c r="TBB27" s="85"/>
      <c r="TBC27" s="85"/>
      <c r="TBD27" s="85"/>
      <c r="TBE27" s="85"/>
      <c r="TBF27" s="85"/>
      <c r="TBG27" s="85"/>
      <c r="TBH27" s="85"/>
      <c r="TBI27" s="85"/>
      <c r="TBJ27" s="85"/>
      <c r="TBK27" s="85"/>
      <c r="TBL27" s="85"/>
      <c r="TBM27" s="85"/>
      <c r="TBN27" s="85"/>
      <c r="TBO27" s="85"/>
      <c r="TBP27" s="85"/>
      <c r="TBQ27" s="85"/>
      <c r="TBR27" s="85"/>
      <c r="TBS27" s="85"/>
      <c r="TBT27" s="85"/>
      <c r="TBU27" s="85"/>
      <c r="TBV27" s="85"/>
      <c r="TBW27" s="85"/>
      <c r="TBX27" s="85"/>
      <c r="TBY27" s="85"/>
      <c r="TBZ27" s="85"/>
      <c r="TCA27" s="85"/>
      <c r="TCB27" s="85"/>
      <c r="TCC27" s="85"/>
      <c r="TCD27" s="85"/>
      <c r="TCE27" s="85"/>
      <c r="TCF27" s="85"/>
      <c r="TCG27" s="85"/>
      <c r="TCH27" s="85"/>
      <c r="TCI27" s="85"/>
      <c r="TCJ27" s="85"/>
      <c r="TCK27" s="85"/>
      <c r="TCL27" s="85"/>
      <c r="TCM27" s="85"/>
      <c r="TCN27" s="85"/>
      <c r="TCO27" s="85"/>
      <c r="TCP27" s="85"/>
      <c r="TCQ27" s="85"/>
      <c r="TCR27" s="85"/>
      <c r="TCS27" s="85"/>
      <c r="TCT27" s="85"/>
      <c r="TCU27" s="85"/>
      <c r="TCV27" s="85"/>
      <c r="TCW27" s="85"/>
      <c r="TCX27" s="85"/>
      <c r="TCY27" s="85"/>
      <c r="TCZ27" s="85"/>
      <c r="TDA27" s="85"/>
      <c r="TDB27" s="85"/>
      <c r="TDC27" s="85"/>
      <c r="TDD27" s="85"/>
      <c r="TDE27" s="85"/>
      <c r="TDF27" s="85"/>
      <c r="TDG27" s="85"/>
      <c r="TDH27" s="85"/>
      <c r="TDI27" s="85"/>
      <c r="TDJ27" s="85"/>
      <c r="TDK27" s="85"/>
      <c r="TDL27" s="85"/>
      <c r="TDM27" s="85"/>
      <c r="TDN27" s="85"/>
      <c r="TDO27" s="85"/>
      <c r="TDP27" s="85"/>
      <c r="TDQ27" s="85"/>
      <c r="TDR27" s="85"/>
      <c r="TDS27" s="85"/>
      <c r="TDT27" s="85"/>
      <c r="TDU27" s="85"/>
      <c r="TDV27" s="85"/>
      <c r="TDW27" s="85"/>
      <c r="TDX27" s="85"/>
      <c r="TDY27" s="85"/>
      <c r="TDZ27" s="85"/>
      <c r="TEA27" s="85"/>
      <c r="TEB27" s="85"/>
      <c r="TEC27" s="85"/>
      <c r="TED27" s="85"/>
      <c r="TEE27" s="85"/>
      <c r="TEF27" s="85"/>
      <c r="TEG27" s="85"/>
      <c r="TEH27" s="85"/>
      <c r="TEI27" s="85"/>
      <c r="TEJ27" s="85"/>
      <c r="TEK27" s="85"/>
      <c r="TEL27" s="85"/>
      <c r="TEM27" s="85"/>
      <c r="TEN27" s="85"/>
      <c r="TEO27" s="85"/>
      <c r="TEP27" s="85"/>
      <c r="TEQ27" s="85"/>
      <c r="TER27" s="85"/>
      <c r="TES27" s="85"/>
      <c r="TET27" s="85"/>
      <c r="TEU27" s="85"/>
      <c r="TEV27" s="85"/>
      <c r="TEW27" s="85"/>
      <c r="TEX27" s="85"/>
      <c r="TEY27" s="85"/>
      <c r="TEZ27" s="85"/>
      <c r="TFA27" s="85"/>
      <c r="TFB27" s="85"/>
      <c r="TFC27" s="85"/>
      <c r="TFD27" s="85"/>
      <c r="TFE27" s="85"/>
      <c r="TFF27" s="85"/>
      <c r="TFG27" s="85"/>
      <c r="TFH27" s="85"/>
      <c r="TFI27" s="85"/>
      <c r="TFJ27" s="85"/>
      <c r="TFK27" s="85"/>
      <c r="TFL27" s="85"/>
      <c r="TFM27" s="85"/>
      <c r="TFN27" s="85"/>
      <c r="TFO27" s="85"/>
      <c r="TFP27" s="85"/>
      <c r="TFQ27" s="85"/>
      <c r="TFR27" s="85"/>
      <c r="TFS27" s="85"/>
      <c r="TFT27" s="85"/>
      <c r="TFU27" s="85"/>
      <c r="TFV27" s="85"/>
      <c r="TFW27" s="85"/>
      <c r="TFX27" s="85"/>
      <c r="TFY27" s="85"/>
      <c r="TFZ27" s="85"/>
      <c r="TGA27" s="85"/>
      <c r="TGB27" s="85"/>
      <c r="TGC27" s="85"/>
      <c r="TGD27" s="85"/>
      <c r="TGE27" s="85"/>
      <c r="TGF27" s="85"/>
      <c r="TGG27" s="85"/>
      <c r="TGH27" s="85"/>
      <c r="TGI27" s="85"/>
      <c r="TGJ27" s="85"/>
      <c r="TGK27" s="85"/>
      <c r="TGL27" s="85"/>
      <c r="TGM27" s="85"/>
      <c r="TGN27" s="85"/>
      <c r="TGO27" s="85"/>
      <c r="TGP27" s="85"/>
      <c r="TGQ27" s="85"/>
      <c r="TGR27" s="85"/>
      <c r="TGS27" s="85"/>
      <c r="TGT27" s="85"/>
      <c r="TGU27" s="85"/>
      <c r="TGV27" s="85"/>
      <c r="TGW27" s="85"/>
      <c r="TGX27" s="85"/>
      <c r="TGY27" s="85"/>
      <c r="TGZ27" s="85"/>
      <c r="THA27" s="85"/>
      <c r="THB27" s="85"/>
      <c r="THC27" s="85"/>
      <c r="THD27" s="85"/>
      <c r="THE27" s="85"/>
      <c r="THF27" s="85"/>
      <c r="THG27" s="85"/>
      <c r="THH27" s="85"/>
      <c r="THI27" s="85"/>
      <c r="THJ27" s="85"/>
      <c r="THK27" s="85"/>
      <c r="THL27" s="85"/>
      <c r="THM27" s="85"/>
      <c r="THN27" s="85"/>
      <c r="THO27" s="85"/>
      <c r="THP27" s="85"/>
      <c r="THQ27" s="85"/>
      <c r="THR27" s="85"/>
      <c r="THS27" s="85"/>
      <c r="THT27" s="85"/>
      <c r="THU27" s="85"/>
      <c r="THV27" s="85"/>
      <c r="THW27" s="85"/>
      <c r="THX27" s="85"/>
      <c r="THY27" s="85"/>
      <c r="THZ27" s="85"/>
      <c r="TIA27" s="85"/>
      <c r="TIB27" s="85"/>
      <c r="TIC27" s="85"/>
      <c r="TID27" s="85"/>
      <c r="TIE27" s="85"/>
      <c r="TIF27" s="85"/>
      <c r="TIG27" s="85"/>
      <c r="TIH27" s="85"/>
      <c r="TII27" s="85"/>
      <c r="TIJ27" s="85"/>
      <c r="TIK27" s="85"/>
      <c r="TIL27" s="85"/>
      <c r="TIM27" s="85"/>
      <c r="TIN27" s="85"/>
      <c r="TIO27" s="85"/>
      <c r="TIP27" s="85"/>
      <c r="TIQ27" s="85"/>
      <c r="TIR27" s="85"/>
      <c r="TIS27" s="85"/>
      <c r="TIT27" s="85"/>
      <c r="TIU27" s="85"/>
      <c r="TIV27" s="85"/>
      <c r="TIW27" s="85"/>
      <c r="TIX27" s="85"/>
      <c r="TIY27" s="85"/>
      <c r="TIZ27" s="85"/>
      <c r="TJA27" s="85"/>
      <c r="TJB27" s="85"/>
      <c r="TJC27" s="85"/>
      <c r="TJD27" s="85"/>
      <c r="TJE27" s="85"/>
      <c r="TJF27" s="85"/>
      <c r="TJG27" s="85"/>
      <c r="TJH27" s="85"/>
      <c r="TJI27" s="85"/>
      <c r="TJJ27" s="85"/>
      <c r="TJK27" s="85"/>
      <c r="TJL27" s="85"/>
      <c r="TJM27" s="85"/>
      <c r="TJN27" s="85"/>
      <c r="TJO27" s="85"/>
      <c r="TJP27" s="85"/>
      <c r="TJQ27" s="85"/>
      <c r="TJR27" s="85"/>
      <c r="TJS27" s="85"/>
      <c r="TJT27" s="85"/>
      <c r="TJU27" s="85"/>
      <c r="TJV27" s="85"/>
      <c r="TJW27" s="85"/>
      <c r="TJX27" s="85"/>
      <c r="TJY27" s="85"/>
      <c r="TJZ27" s="85"/>
      <c r="TKA27" s="85"/>
      <c r="TKB27" s="85"/>
      <c r="TKC27" s="85"/>
      <c r="TKD27" s="85"/>
      <c r="TKE27" s="85"/>
      <c r="TKF27" s="85"/>
      <c r="TKG27" s="85"/>
      <c r="TKH27" s="85"/>
      <c r="TKI27" s="85"/>
      <c r="TKJ27" s="85"/>
      <c r="TKK27" s="85"/>
      <c r="TKL27" s="85"/>
      <c r="TKM27" s="85"/>
      <c r="TKN27" s="85"/>
      <c r="TKO27" s="85"/>
      <c r="TKP27" s="85"/>
      <c r="TKQ27" s="85"/>
      <c r="TKR27" s="85"/>
      <c r="TKS27" s="85"/>
      <c r="TKT27" s="85"/>
      <c r="TKU27" s="85"/>
      <c r="TKV27" s="85"/>
      <c r="TKW27" s="85"/>
      <c r="TKX27" s="85"/>
      <c r="TKY27" s="85"/>
      <c r="TKZ27" s="85"/>
      <c r="TLA27" s="85"/>
      <c r="TLB27" s="85"/>
      <c r="TLC27" s="85"/>
      <c r="TLD27" s="85"/>
      <c r="TLE27" s="85"/>
      <c r="TLF27" s="85"/>
      <c r="TLG27" s="85"/>
      <c r="TLH27" s="85"/>
      <c r="TLI27" s="85"/>
      <c r="TLJ27" s="85"/>
      <c r="TLK27" s="85"/>
      <c r="TLL27" s="85"/>
      <c r="TLM27" s="85"/>
      <c r="TLN27" s="85"/>
      <c r="TLO27" s="85"/>
      <c r="TLP27" s="85"/>
      <c r="TLQ27" s="85"/>
      <c r="TLR27" s="85"/>
      <c r="TLS27" s="85"/>
      <c r="TLT27" s="85"/>
      <c r="TLU27" s="85"/>
      <c r="TLV27" s="85"/>
      <c r="TLW27" s="85"/>
      <c r="TLX27" s="85"/>
      <c r="TLY27" s="85"/>
      <c r="TLZ27" s="85"/>
      <c r="TMA27" s="85"/>
      <c r="TMB27" s="85"/>
      <c r="TMC27" s="85"/>
      <c r="TMD27" s="85"/>
      <c r="TME27" s="85"/>
      <c r="TMF27" s="85"/>
      <c r="TMG27" s="85"/>
      <c r="TMH27" s="85"/>
      <c r="TMI27" s="85"/>
      <c r="TMJ27" s="85"/>
      <c r="TMK27" s="85"/>
      <c r="TML27" s="85"/>
      <c r="TMM27" s="85"/>
      <c r="TMN27" s="85"/>
      <c r="TMO27" s="85"/>
      <c r="TMP27" s="85"/>
      <c r="TMQ27" s="85"/>
      <c r="TMR27" s="85"/>
      <c r="TMS27" s="85"/>
      <c r="TMT27" s="85"/>
      <c r="TMU27" s="85"/>
      <c r="TMV27" s="85"/>
      <c r="TMW27" s="85"/>
      <c r="TMX27" s="85"/>
      <c r="TMY27" s="85"/>
      <c r="TMZ27" s="85"/>
      <c r="TNA27" s="85"/>
      <c r="TNB27" s="85"/>
      <c r="TNC27" s="85"/>
      <c r="TND27" s="85"/>
      <c r="TNE27" s="85"/>
      <c r="TNF27" s="85"/>
      <c r="TNG27" s="85"/>
      <c r="TNH27" s="85"/>
      <c r="TNI27" s="85"/>
      <c r="TNJ27" s="85"/>
      <c r="TNK27" s="85"/>
      <c r="TNL27" s="85"/>
      <c r="TNM27" s="85"/>
      <c r="TNN27" s="85"/>
      <c r="TNO27" s="85"/>
      <c r="TNP27" s="85"/>
      <c r="TNQ27" s="85"/>
      <c r="TNR27" s="85"/>
      <c r="TNS27" s="85"/>
      <c r="TNT27" s="85"/>
      <c r="TNU27" s="85"/>
      <c r="TNV27" s="85"/>
      <c r="TNW27" s="85"/>
      <c r="TNX27" s="85"/>
      <c r="TNY27" s="85"/>
      <c r="TNZ27" s="85"/>
      <c r="TOA27" s="85"/>
      <c r="TOB27" s="85"/>
      <c r="TOC27" s="85"/>
      <c r="TOD27" s="85"/>
      <c r="TOE27" s="85"/>
      <c r="TOF27" s="85"/>
      <c r="TOG27" s="85"/>
      <c r="TOH27" s="85"/>
      <c r="TOI27" s="85"/>
      <c r="TOJ27" s="85"/>
      <c r="TOK27" s="85"/>
      <c r="TOL27" s="85"/>
      <c r="TOM27" s="85"/>
      <c r="TON27" s="85"/>
      <c r="TOO27" s="85"/>
      <c r="TOP27" s="85"/>
      <c r="TOQ27" s="85"/>
      <c r="TOR27" s="85"/>
      <c r="TOS27" s="85"/>
      <c r="TOT27" s="85"/>
      <c r="TOU27" s="85"/>
      <c r="TOV27" s="85"/>
      <c r="TOW27" s="85"/>
      <c r="TOX27" s="85"/>
      <c r="TOY27" s="85"/>
      <c r="TOZ27" s="85"/>
      <c r="TPA27" s="85"/>
      <c r="TPB27" s="85"/>
      <c r="TPC27" s="85"/>
      <c r="TPD27" s="85"/>
      <c r="TPE27" s="85"/>
      <c r="TPF27" s="85"/>
      <c r="TPG27" s="85"/>
      <c r="TPH27" s="85"/>
      <c r="TPI27" s="85"/>
      <c r="TPJ27" s="85"/>
      <c r="TPK27" s="85"/>
      <c r="TPL27" s="85"/>
      <c r="TPM27" s="85"/>
      <c r="TPN27" s="85"/>
      <c r="TPO27" s="85"/>
      <c r="TPP27" s="85"/>
      <c r="TPQ27" s="85"/>
      <c r="TPR27" s="85"/>
      <c r="TPS27" s="85"/>
      <c r="TPT27" s="85"/>
      <c r="TPU27" s="85"/>
      <c r="TPV27" s="85"/>
      <c r="TPW27" s="85"/>
      <c r="TPX27" s="85"/>
      <c r="TPY27" s="85"/>
      <c r="TPZ27" s="85"/>
      <c r="TQA27" s="85"/>
      <c r="TQB27" s="85"/>
      <c r="TQC27" s="85"/>
      <c r="TQD27" s="85"/>
      <c r="TQE27" s="85"/>
      <c r="TQF27" s="85"/>
      <c r="TQG27" s="85"/>
      <c r="TQH27" s="85"/>
      <c r="TQI27" s="85"/>
      <c r="TQJ27" s="85"/>
      <c r="TQK27" s="85"/>
      <c r="TQL27" s="85"/>
      <c r="TQM27" s="85"/>
      <c r="TQN27" s="85"/>
      <c r="TQO27" s="85"/>
      <c r="TQP27" s="85"/>
      <c r="TQQ27" s="85"/>
      <c r="TQR27" s="85"/>
      <c r="TQS27" s="85"/>
      <c r="TQT27" s="85"/>
      <c r="TQU27" s="85"/>
      <c r="TQV27" s="85"/>
      <c r="TQW27" s="85"/>
      <c r="TQX27" s="85"/>
      <c r="TQY27" s="85"/>
      <c r="TQZ27" s="85"/>
      <c r="TRA27" s="85"/>
      <c r="TRB27" s="85"/>
      <c r="TRC27" s="85"/>
      <c r="TRD27" s="85"/>
      <c r="TRE27" s="85"/>
      <c r="TRF27" s="85"/>
      <c r="TRG27" s="85"/>
      <c r="TRH27" s="85"/>
      <c r="TRI27" s="85"/>
      <c r="TRJ27" s="85"/>
      <c r="TRK27" s="85"/>
      <c r="TRL27" s="85"/>
      <c r="TRM27" s="85"/>
      <c r="TRN27" s="85"/>
      <c r="TRO27" s="85"/>
      <c r="TRP27" s="85"/>
      <c r="TRQ27" s="85"/>
      <c r="TRR27" s="85"/>
      <c r="TRS27" s="85"/>
      <c r="TRT27" s="85"/>
      <c r="TRU27" s="85"/>
      <c r="TRV27" s="85"/>
      <c r="TRW27" s="85"/>
      <c r="TRX27" s="85"/>
      <c r="TRY27" s="85"/>
      <c r="TRZ27" s="85"/>
      <c r="TSA27" s="85"/>
      <c r="TSB27" s="85"/>
      <c r="TSC27" s="85"/>
      <c r="TSD27" s="85"/>
      <c r="TSE27" s="85"/>
      <c r="TSF27" s="85"/>
      <c r="TSG27" s="85"/>
      <c r="TSH27" s="85"/>
      <c r="TSI27" s="85"/>
      <c r="TSJ27" s="85"/>
      <c r="TSK27" s="85"/>
      <c r="TSL27" s="85"/>
      <c r="TSM27" s="85"/>
      <c r="TSN27" s="85"/>
      <c r="TSO27" s="85"/>
      <c r="TSP27" s="85"/>
      <c r="TSQ27" s="85"/>
      <c r="TSR27" s="85"/>
      <c r="TSS27" s="85"/>
      <c r="TST27" s="85"/>
      <c r="TSU27" s="85"/>
      <c r="TSV27" s="85"/>
      <c r="TSW27" s="85"/>
      <c r="TSX27" s="85"/>
      <c r="TSY27" s="85"/>
      <c r="TSZ27" s="85"/>
      <c r="TTA27" s="85"/>
      <c r="TTB27" s="85"/>
      <c r="TTC27" s="85"/>
      <c r="TTD27" s="85"/>
      <c r="TTE27" s="85"/>
      <c r="TTF27" s="85"/>
      <c r="TTG27" s="85"/>
      <c r="TTH27" s="85"/>
      <c r="TTI27" s="85"/>
      <c r="TTJ27" s="85"/>
      <c r="TTK27" s="85"/>
      <c r="TTL27" s="85"/>
      <c r="TTM27" s="85"/>
      <c r="TTN27" s="85"/>
      <c r="TTO27" s="85"/>
      <c r="TTP27" s="85"/>
      <c r="TTQ27" s="85"/>
      <c r="TTR27" s="85"/>
      <c r="TTS27" s="85"/>
      <c r="TTT27" s="85"/>
      <c r="TTU27" s="85"/>
      <c r="TTV27" s="85"/>
      <c r="TTW27" s="85"/>
      <c r="TTX27" s="85"/>
      <c r="TTY27" s="85"/>
      <c r="TTZ27" s="85"/>
      <c r="TUA27" s="85"/>
      <c r="TUB27" s="85"/>
      <c r="TUC27" s="85"/>
      <c r="TUD27" s="85"/>
      <c r="TUE27" s="85"/>
      <c r="TUF27" s="85"/>
      <c r="TUG27" s="85"/>
      <c r="TUH27" s="85"/>
      <c r="TUI27" s="85"/>
      <c r="TUJ27" s="85"/>
      <c r="TUK27" s="85"/>
      <c r="TUL27" s="85"/>
      <c r="TUM27" s="85"/>
      <c r="TUN27" s="85"/>
      <c r="TUO27" s="85"/>
      <c r="TUP27" s="85"/>
      <c r="TUQ27" s="85"/>
      <c r="TUR27" s="85"/>
      <c r="TUS27" s="85"/>
      <c r="TUT27" s="85"/>
      <c r="TUU27" s="85"/>
      <c r="TUV27" s="85"/>
      <c r="TUW27" s="85"/>
      <c r="TUX27" s="85"/>
      <c r="TUY27" s="85"/>
      <c r="TUZ27" s="85"/>
      <c r="TVA27" s="85"/>
      <c r="TVB27" s="85"/>
      <c r="TVC27" s="85"/>
      <c r="TVD27" s="85"/>
      <c r="TVE27" s="85"/>
      <c r="TVF27" s="85"/>
      <c r="TVG27" s="85"/>
      <c r="TVH27" s="85"/>
      <c r="TVI27" s="85"/>
      <c r="TVJ27" s="85"/>
      <c r="TVK27" s="85"/>
      <c r="TVL27" s="85"/>
      <c r="TVM27" s="85"/>
      <c r="TVN27" s="85"/>
      <c r="TVO27" s="85"/>
      <c r="TVP27" s="85"/>
      <c r="TVQ27" s="85"/>
      <c r="TVR27" s="85"/>
      <c r="TVS27" s="85"/>
      <c r="TVT27" s="85"/>
      <c r="TVU27" s="85"/>
      <c r="TVV27" s="85"/>
      <c r="TVW27" s="85"/>
      <c r="TVX27" s="85"/>
      <c r="TVY27" s="85"/>
      <c r="TVZ27" s="85"/>
      <c r="TWA27" s="85"/>
      <c r="TWB27" s="85"/>
      <c r="TWC27" s="85"/>
      <c r="TWD27" s="85"/>
      <c r="TWE27" s="85"/>
      <c r="TWF27" s="85"/>
      <c r="TWG27" s="85"/>
      <c r="TWH27" s="85"/>
      <c r="TWI27" s="85"/>
      <c r="TWJ27" s="85"/>
      <c r="TWK27" s="85"/>
      <c r="TWL27" s="85"/>
      <c r="TWM27" s="85"/>
      <c r="TWN27" s="85"/>
      <c r="TWO27" s="85"/>
      <c r="TWP27" s="85"/>
      <c r="TWQ27" s="85"/>
      <c r="TWR27" s="85"/>
      <c r="TWS27" s="85"/>
      <c r="TWT27" s="85"/>
      <c r="TWU27" s="85"/>
      <c r="TWV27" s="85"/>
      <c r="TWW27" s="85"/>
      <c r="TWX27" s="85"/>
      <c r="TWY27" s="85"/>
      <c r="TWZ27" s="85"/>
      <c r="TXA27" s="85"/>
      <c r="TXB27" s="85"/>
      <c r="TXC27" s="85"/>
      <c r="TXD27" s="85"/>
      <c r="TXE27" s="85"/>
      <c r="TXF27" s="85"/>
      <c r="TXG27" s="85"/>
      <c r="TXH27" s="85"/>
      <c r="TXI27" s="85"/>
      <c r="TXJ27" s="85"/>
      <c r="TXK27" s="85"/>
      <c r="TXL27" s="85"/>
      <c r="TXM27" s="85"/>
      <c r="TXN27" s="85"/>
      <c r="TXO27" s="85"/>
      <c r="TXP27" s="85"/>
      <c r="TXQ27" s="85"/>
      <c r="TXR27" s="85"/>
      <c r="TXS27" s="85"/>
      <c r="TXT27" s="85"/>
      <c r="TXU27" s="85"/>
      <c r="TXV27" s="85"/>
      <c r="TXW27" s="85"/>
      <c r="TXX27" s="85"/>
      <c r="TXY27" s="85"/>
      <c r="TXZ27" s="85"/>
      <c r="TYA27" s="85"/>
      <c r="TYB27" s="85"/>
      <c r="TYC27" s="85"/>
      <c r="TYD27" s="85"/>
      <c r="TYE27" s="85"/>
      <c r="TYF27" s="85"/>
      <c r="TYG27" s="85"/>
      <c r="TYH27" s="85"/>
      <c r="TYI27" s="85"/>
      <c r="TYJ27" s="85"/>
      <c r="TYK27" s="85"/>
      <c r="TYL27" s="85"/>
      <c r="TYM27" s="85"/>
      <c r="TYN27" s="85"/>
      <c r="TYO27" s="85"/>
      <c r="TYP27" s="85"/>
      <c r="TYQ27" s="85"/>
      <c r="TYR27" s="85"/>
      <c r="TYS27" s="85"/>
      <c r="TYT27" s="85"/>
      <c r="TYU27" s="85"/>
      <c r="TYV27" s="85"/>
      <c r="TYW27" s="85"/>
      <c r="TYX27" s="85"/>
      <c r="TYY27" s="85"/>
      <c r="TYZ27" s="85"/>
      <c r="TZA27" s="85"/>
      <c r="TZB27" s="85"/>
      <c r="TZC27" s="85"/>
      <c r="TZD27" s="85"/>
      <c r="TZE27" s="85"/>
      <c r="TZF27" s="85"/>
      <c r="TZG27" s="85"/>
      <c r="TZH27" s="85"/>
      <c r="TZI27" s="85"/>
      <c r="TZJ27" s="85"/>
      <c r="TZK27" s="85"/>
      <c r="TZL27" s="85"/>
      <c r="TZM27" s="85"/>
      <c r="TZN27" s="85"/>
      <c r="TZO27" s="85"/>
      <c r="TZP27" s="85"/>
      <c r="TZQ27" s="85"/>
      <c r="TZR27" s="85"/>
      <c r="TZS27" s="85"/>
      <c r="TZT27" s="85"/>
      <c r="TZU27" s="85"/>
      <c r="TZV27" s="85"/>
      <c r="TZW27" s="85"/>
      <c r="TZX27" s="85"/>
      <c r="TZY27" s="85"/>
      <c r="TZZ27" s="85"/>
      <c r="UAA27" s="85"/>
      <c r="UAB27" s="85"/>
      <c r="UAC27" s="85"/>
      <c r="UAD27" s="85"/>
      <c r="UAE27" s="85"/>
      <c r="UAF27" s="85"/>
      <c r="UAG27" s="85"/>
      <c r="UAH27" s="85"/>
      <c r="UAI27" s="85"/>
      <c r="UAJ27" s="85"/>
      <c r="UAK27" s="85"/>
      <c r="UAL27" s="85"/>
      <c r="UAM27" s="85"/>
      <c r="UAN27" s="85"/>
      <c r="UAO27" s="85"/>
      <c r="UAP27" s="85"/>
      <c r="UAQ27" s="85"/>
      <c r="UAR27" s="85"/>
      <c r="UAS27" s="85"/>
      <c r="UAT27" s="85"/>
      <c r="UAU27" s="85"/>
      <c r="UAV27" s="85"/>
      <c r="UAW27" s="85"/>
      <c r="UAX27" s="85"/>
      <c r="UAY27" s="85"/>
      <c r="UAZ27" s="85"/>
      <c r="UBA27" s="85"/>
      <c r="UBB27" s="85"/>
      <c r="UBC27" s="85"/>
      <c r="UBD27" s="85"/>
      <c r="UBE27" s="85"/>
      <c r="UBF27" s="85"/>
      <c r="UBG27" s="85"/>
      <c r="UBH27" s="85"/>
      <c r="UBI27" s="85"/>
      <c r="UBJ27" s="85"/>
      <c r="UBK27" s="85"/>
      <c r="UBL27" s="85"/>
      <c r="UBM27" s="85"/>
      <c r="UBN27" s="85"/>
      <c r="UBO27" s="85"/>
      <c r="UBP27" s="85"/>
      <c r="UBQ27" s="85"/>
      <c r="UBR27" s="85"/>
      <c r="UBS27" s="85"/>
      <c r="UBT27" s="85"/>
      <c r="UBU27" s="85"/>
      <c r="UBV27" s="85"/>
      <c r="UBW27" s="85"/>
      <c r="UBX27" s="85"/>
      <c r="UBY27" s="85"/>
      <c r="UBZ27" s="85"/>
      <c r="UCA27" s="85"/>
      <c r="UCB27" s="85"/>
      <c r="UCC27" s="85"/>
      <c r="UCD27" s="85"/>
      <c r="UCE27" s="85"/>
      <c r="UCF27" s="85"/>
      <c r="UCG27" s="85"/>
      <c r="UCH27" s="85"/>
      <c r="UCI27" s="85"/>
      <c r="UCJ27" s="85"/>
      <c r="UCK27" s="85"/>
      <c r="UCL27" s="85"/>
      <c r="UCM27" s="85"/>
      <c r="UCN27" s="85"/>
      <c r="UCO27" s="85"/>
      <c r="UCP27" s="85"/>
      <c r="UCQ27" s="85"/>
      <c r="UCR27" s="85"/>
      <c r="UCS27" s="85"/>
      <c r="UCT27" s="85"/>
      <c r="UCU27" s="85"/>
      <c r="UCV27" s="85"/>
      <c r="UCW27" s="85"/>
      <c r="UCX27" s="85"/>
      <c r="UCY27" s="85"/>
      <c r="UCZ27" s="85"/>
      <c r="UDA27" s="85"/>
      <c r="UDB27" s="85"/>
      <c r="UDC27" s="85"/>
      <c r="UDD27" s="85"/>
      <c r="UDE27" s="85"/>
      <c r="UDF27" s="85"/>
      <c r="UDG27" s="85"/>
      <c r="UDH27" s="85"/>
      <c r="UDI27" s="85"/>
      <c r="UDJ27" s="85"/>
      <c r="UDK27" s="85"/>
      <c r="UDL27" s="85"/>
      <c r="UDM27" s="85"/>
      <c r="UDN27" s="85"/>
      <c r="UDO27" s="85"/>
      <c r="UDP27" s="85"/>
      <c r="UDQ27" s="85"/>
      <c r="UDR27" s="85"/>
      <c r="UDS27" s="85"/>
      <c r="UDT27" s="85"/>
      <c r="UDU27" s="85"/>
      <c r="UDV27" s="85"/>
      <c r="UDW27" s="85"/>
      <c r="UDX27" s="85"/>
      <c r="UDY27" s="85"/>
      <c r="UDZ27" s="85"/>
      <c r="UEA27" s="85"/>
      <c r="UEB27" s="85"/>
      <c r="UEC27" s="85"/>
      <c r="UED27" s="85"/>
      <c r="UEE27" s="85"/>
      <c r="UEF27" s="85"/>
      <c r="UEG27" s="85"/>
      <c r="UEH27" s="85"/>
      <c r="UEI27" s="85"/>
      <c r="UEJ27" s="85"/>
      <c r="UEK27" s="85"/>
      <c r="UEL27" s="85"/>
      <c r="UEM27" s="85"/>
      <c r="UEN27" s="85"/>
      <c r="UEO27" s="85"/>
      <c r="UEP27" s="85"/>
      <c r="UEQ27" s="85"/>
      <c r="UER27" s="85"/>
      <c r="UES27" s="85"/>
      <c r="UET27" s="85"/>
      <c r="UEU27" s="85"/>
      <c r="UEV27" s="85"/>
      <c r="UEW27" s="85"/>
      <c r="UEX27" s="85"/>
      <c r="UEY27" s="85"/>
      <c r="UEZ27" s="85"/>
      <c r="UFA27" s="85"/>
      <c r="UFB27" s="85"/>
      <c r="UFC27" s="85"/>
      <c r="UFD27" s="85"/>
      <c r="UFE27" s="85"/>
      <c r="UFF27" s="85"/>
      <c r="UFG27" s="85"/>
      <c r="UFH27" s="85"/>
      <c r="UFI27" s="85"/>
      <c r="UFJ27" s="85"/>
      <c r="UFK27" s="85"/>
      <c r="UFL27" s="85"/>
      <c r="UFM27" s="85"/>
      <c r="UFN27" s="85"/>
      <c r="UFO27" s="85"/>
      <c r="UFP27" s="85"/>
      <c r="UFQ27" s="85"/>
      <c r="UFR27" s="85"/>
      <c r="UFS27" s="85"/>
      <c r="UFT27" s="85"/>
      <c r="UFU27" s="85"/>
      <c r="UFV27" s="85"/>
      <c r="UFW27" s="85"/>
      <c r="UFX27" s="85"/>
      <c r="UFY27" s="85"/>
      <c r="UFZ27" s="85"/>
      <c r="UGA27" s="85"/>
      <c r="UGB27" s="85"/>
      <c r="UGC27" s="85"/>
      <c r="UGD27" s="85"/>
      <c r="UGE27" s="85"/>
      <c r="UGF27" s="85"/>
      <c r="UGG27" s="85"/>
      <c r="UGH27" s="85"/>
      <c r="UGI27" s="85"/>
      <c r="UGJ27" s="85"/>
      <c r="UGK27" s="85"/>
      <c r="UGL27" s="85"/>
      <c r="UGM27" s="85"/>
      <c r="UGN27" s="85"/>
      <c r="UGO27" s="85"/>
      <c r="UGP27" s="85"/>
      <c r="UGQ27" s="85"/>
      <c r="UGR27" s="85"/>
      <c r="UGS27" s="85"/>
      <c r="UGT27" s="85"/>
      <c r="UGU27" s="85"/>
      <c r="UGV27" s="85"/>
      <c r="UGW27" s="85"/>
      <c r="UGX27" s="85"/>
      <c r="UGY27" s="85"/>
      <c r="UGZ27" s="85"/>
      <c r="UHA27" s="85"/>
      <c r="UHB27" s="85"/>
      <c r="UHC27" s="85"/>
      <c r="UHD27" s="85"/>
      <c r="UHE27" s="85"/>
      <c r="UHF27" s="85"/>
      <c r="UHG27" s="85"/>
      <c r="UHH27" s="85"/>
      <c r="UHI27" s="85"/>
      <c r="UHJ27" s="85"/>
      <c r="UHK27" s="85"/>
      <c r="UHL27" s="85"/>
      <c r="UHM27" s="85"/>
      <c r="UHN27" s="85"/>
      <c r="UHO27" s="85"/>
      <c r="UHP27" s="85"/>
      <c r="UHQ27" s="85"/>
      <c r="UHR27" s="85"/>
      <c r="UHS27" s="85"/>
      <c r="UHT27" s="85"/>
      <c r="UHU27" s="85"/>
      <c r="UHV27" s="85"/>
      <c r="UHW27" s="85"/>
      <c r="UHX27" s="85"/>
      <c r="UHY27" s="85"/>
      <c r="UHZ27" s="85"/>
      <c r="UIA27" s="85"/>
      <c r="UIB27" s="85"/>
      <c r="UIC27" s="85"/>
      <c r="UID27" s="85"/>
      <c r="UIE27" s="85"/>
      <c r="UIF27" s="85"/>
      <c r="UIG27" s="85"/>
      <c r="UIH27" s="85"/>
      <c r="UII27" s="85"/>
      <c r="UIJ27" s="85"/>
      <c r="UIK27" s="85"/>
      <c r="UIL27" s="85"/>
      <c r="UIM27" s="85"/>
      <c r="UIN27" s="85"/>
      <c r="UIO27" s="85"/>
      <c r="UIP27" s="85"/>
      <c r="UIQ27" s="85"/>
      <c r="UIR27" s="85"/>
      <c r="UIS27" s="85"/>
      <c r="UIT27" s="85"/>
      <c r="UIU27" s="85"/>
      <c r="UIV27" s="85"/>
      <c r="UIW27" s="85"/>
      <c r="UIX27" s="85"/>
      <c r="UIY27" s="85"/>
      <c r="UIZ27" s="85"/>
      <c r="UJA27" s="85"/>
      <c r="UJB27" s="85"/>
      <c r="UJC27" s="85"/>
      <c r="UJD27" s="85"/>
      <c r="UJE27" s="85"/>
      <c r="UJF27" s="85"/>
      <c r="UJG27" s="85"/>
      <c r="UJH27" s="85"/>
      <c r="UJI27" s="85"/>
      <c r="UJJ27" s="85"/>
      <c r="UJK27" s="85"/>
      <c r="UJL27" s="85"/>
      <c r="UJM27" s="85"/>
      <c r="UJN27" s="85"/>
      <c r="UJO27" s="85"/>
      <c r="UJP27" s="85"/>
      <c r="UJQ27" s="85"/>
      <c r="UJR27" s="85"/>
      <c r="UJS27" s="85"/>
      <c r="UJT27" s="85"/>
      <c r="UJU27" s="85"/>
      <c r="UJV27" s="85"/>
      <c r="UJW27" s="85"/>
      <c r="UJX27" s="85"/>
      <c r="UJY27" s="85"/>
      <c r="UJZ27" s="85"/>
      <c r="UKA27" s="85"/>
      <c r="UKB27" s="85"/>
      <c r="UKC27" s="85"/>
      <c r="UKD27" s="85"/>
      <c r="UKE27" s="85"/>
      <c r="UKF27" s="85"/>
      <c r="UKG27" s="85"/>
      <c r="UKH27" s="85"/>
      <c r="UKI27" s="85"/>
      <c r="UKJ27" s="85"/>
      <c r="UKK27" s="85"/>
      <c r="UKL27" s="85"/>
      <c r="UKM27" s="85"/>
      <c r="UKN27" s="85"/>
      <c r="UKO27" s="85"/>
      <c r="UKP27" s="85"/>
      <c r="UKQ27" s="85"/>
      <c r="UKR27" s="85"/>
      <c r="UKS27" s="85"/>
      <c r="UKT27" s="85"/>
      <c r="UKU27" s="85"/>
      <c r="UKV27" s="85"/>
      <c r="UKW27" s="85"/>
      <c r="UKX27" s="85"/>
      <c r="UKY27" s="85"/>
      <c r="UKZ27" s="85"/>
      <c r="ULA27" s="85"/>
      <c r="ULB27" s="85"/>
      <c r="ULC27" s="85"/>
      <c r="ULD27" s="85"/>
      <c r="ULE27" s="85"/>
      <c r="ULF27" s="85"/>
      <c r="ULG27" s="85"/>
      <c r="ULH27" s="85"/>
      <c r="ULI27" s="85"/>
      <c r="ULJ27" s="85"/>
      <c r="ULK27" s="85"/>
      <c r="ULL27" s="85"/>
      <c r="ULM27" s="85"/>
      <c r="ULN27" s="85"/>
      <c r="ULO27" s="85"/>
      <c r="ULP27" s="85"/>
      <c r="ULQ27" s="85"/>
      <c r="ULR27" s="85"/>
      <c r="ULS27" s="85"/>
      <c r="ULT27" s="85"/>
      <c r="ULU27" s="85"/>
      <c r="ULV27" s="85"/>
      <c r="ULW27" s="85"/>
      <c r="ULX27" s="85"/>
      <c r="ULY27" s="85"/>
      <c r="ULZ27" s="85"/>
      <c r="UMA27" s="85"/>
      <c r="UMB27" s="85"/>
      <c r="UMC27" s="85"/>
      <c r="UMD27" s="85"/>
      <c r="UME27" s="85"/>
      <c r="UMF27" s="85"/>
      <c r="UMG27" s="85"/>
      <c r="UMH27" s="85"/>
      <c r="UMI27" s="85"/>
      <c r="UMJ27" s="85"/>
      <c r="UMK27" s="85"/>
      <c r="UML27" s="85"/>
      <c r="UMM27" s="85"/>
      <c r="UMN27" s="85"/>
      <c r="UMO27" s="85"/>
      <c r="UMP27" s="85"/>
      <c r="UMQ27" s="85"/>
      <c r="UMR27" s="85"/>
      <c r="UMS27" s="85"/>
      <c r="UMT27" s="85"/>
      <c r="UMU27" s="85"/>
      <c r="UMV27" s="85"/>
      <c r="UMW27" s="85"/>
      <c r="UMX27" s="85"/>
      <c r="UMY27" s="85"/>
      <c r="UMZ27" s="85"/>
      <c r="UNA27" s="85"/>
      <c r="UNB27" s="85"/>
      <c r="UNC27" s="85"/>
      <c r="UND27" s="85"/>
      <c r="UNE27" s="85"/>
      <c r="UNF27" s="85"/>
      <c r="UNG27" s="85"/>
      <c r="UNH27" s="85"/>
      <c r="UNI27" s="85"/>
      <c r="UNJ27" s="85"/>
      <c r="UNK27" s="85"/>
      <c r="UNL27" s="85"/>
      <c r="UNM27" s="85"/>
      <c r="UNN27" s="85"/>
      <c r="UNO27" s="85"/>
      <c r="UNP27" s="85"/>
      <c r="UNQ27" s="85"/>
      <c r="UNR27" s="85"/>
      <c r="UNS27" s="85"/>
      <c r="UNT27" s="85"/>
      <c r="UNU27" s="85"/>
      <c r="UNV27" s="85"/>
      <c r="UNW27" s="85"/>
      <c r="UNX27" s="85"/>
      <c r="UNY27" s="85"/>
      <c r="UNZ27" s="85"/>
      <c r="UOA27" s="85"/>
      <c r="UOB27" s="85"/>
      <c r="UOC27" s="85"/>
      <c r="UOD27" s="85"/>
      <c r="UOE27" s="85"/>
      <c r="UOF27" s="85"/>
      <c r="UOG27" s="85"/>
      <c r="UOH27" s="85"/>
      <c r="UOI27" s="85"/>
      <c r="UOJ27" s="85"/>
      <c r="UOK27" s="85"/>
      <c r="UOL27" s="85"/>
      <c r="UOM27" s="85"/>
      <c r="UON27" s="85"/>
      <c r="UOO27" s="85"/>
      <c r="UOP27" s="85"/>
      <c r="UOQ27" s="85"/>
      <c r="UOR27" s="85"/>
      <c r="UOS27" s="85"/>
      <c r="UOT27" s="85"/>
      <c r="UOU27" s="85"/>
      <c r="UOV27" s="85"/>
      <c r="UOW27" s="85"/>
      <c r="UOX27" s="85"/>
      <c r="UOY27" s="85"/>
      <c r="UOZ27" s="85"/>
      <c r="UPA27" s="85"/>
      <c r="UPB27" s="85"/>
      <c r="UPC27" s="85"/>
      <c r="UPD27" s="85"/>
      <c r="UPE27" s="85"/>
      <c r="UPF27" s="85"/>
      <c r="UPG27" s="85"/>
      <c r="UPH27" s="85"/>
      <c r="UPI27" s="85"/>
      <c r="UPJ27" s="85"/>
      <c r="UPK27" s="85"/>
      <c r="UPL27" s="85"/>
      <c r="UPM27" s="85"/>
      <c r="UPN27" s="85"/>
      <c r="UPO27" s="85"/>
      <c r="UPP27" s="85"/>
      <c r="UPQ27" s="85"/>
      <c r="UPR27" s="85"/>
      <c r="UPS27" s="85"/>
      <c r="UPT27" s="85"/>
      <c r="UPU27" s="85"/>
      <c r="UPV27" s="85"/>
      <c r="UPW27" s="85"/>
      <c r="UPX27" s="85"/>
      <c r="UPY27" s="85"/>
      <c r="UPZ27" s="85"/>
      <c r="UQA27" s="85"/>
      <c r="UQB27" s="85"/>
      <c r="UQC27" s="85"/>
      <c r="UQD27" s="85"/>
      <c r="UQE27" s="85"/>
      <c r="UQF27" s="85"/>
      <c r="UQG27" s="85"/>
      <c r="UQH27" s="85"/>
      <c r="UQI27" s="85"/>
      <c r="UQJ27" s="85"/>
      <c r="UQK27" s="85"/>
      <c r="UQL27" s="85"/>
      <c r="UQM27" s="85"/>
      <c r="UQN27" s="85"/>
      <c r="UQO27" s="85"/>
      <c r="UQP27" s="85"/>
      <c r="UQQ27" s="85"/>
      <c r="UQR27" s="85"/>
      <c r="UQS27" s="85"/>
      <c r="UQT27" s="85"/>
      <c r="UQU27" s="85"/>
      <c r="UQV27" s="85"/>
      <c r="UQW27" s="85"/>
      <c r="UQX27" s="85"/>
      <c r="UQY27" s="85"/>
      <c r="UQZ27" s="85"/>
      <c r="URA27" s="85"/>
      <c r="URB27" s="85"/>
      <c r="URC27" s="85"/>
      <c r="URD27" s="85"/>
      <c r="URE27" s="85"/>
      <c r="URF27" s="85"/>
      <c r="URG27" s="85"/>
      <c r="URH27" s="85"/>
      <c r="URI27" s="85"/>
      <c r="URJ27" s="85"/>
      <c r="URK27" s="85"/>
      <c r="URL27" s="85"/>
      <c r="URM27" s="85"/>
      <c r="URN27" s="85"/>
      <c r="URO27" s="85"/>
      <c r="URP27" s="85"/>
      <c r="URQ27" s="85"/>
      <c r="URR27" s="85"/>
      <c r="URS27" s="85"/>
      <c r="URT27" s="85"/>
      <c r="URU27" s="85"/>
      <c r="URV27" s="85"/>
      <c r="URW27" s="85"/>
      <c r="URX27" s="85"/>
      <c r="URY27" s="85"/>
      <c r="URZ27" s="85"/>
      <c r="USA27" s="85"/>
      <c r="USB27" s="85"/>
      <c r="USC27" s="85"/>
      <c r="USD27" s="85"/>
      <c r="USE27" s="85"/>
      <c r="USF27" s="85"/>
      <c r="USG27" s="85"/>
      <c r="USH27" s="85"/>
      <c r="USI27" s="85"/>
      <c r="USJ27" s="85"/>
      <c r="USK27" s="85"/>
      <c r="USL27" s="85"/>
      <c r="USM27" s="85"/>
      <c r="USN27" s="85"/>
      <c r="USO27" s="85"/>
      <c r="USP27" s="85"/>
      <c r="USQ27" s="85"/>
      <c r="USR27" s="85"/>
      <c r="USS27" s="85"/>
      <c r="UST27" s="85"/>
      <c r="USU27" s="85"/>
      <c r="USV27" s="85"/>
      <c r="USW27" s="85"/>
      <c r="USX27" s="85"/>
      <c r="USY27" s="85"/>
      <c r="USZ27" s="85"/>
      <c r="UTA27" s="85"/>
      <c r="UTB27" s="85"/>
      <c r="UTC27" s="85"/>
      <c r="UTD27" s="85"/>
      <c r="UTE27" s="85"/>
      <c r="UTF27" s="85"/>
      <c r="UTG27" s="85"/>
      <c r="UTH27" s="85"/>
      <c r="UTI27" s="85"/>
      <c r="UTJ27" s="85"/>
      <c r="UTK27" s="85"/>
      <c r="UTL27" s="85"/>
      <c r="UTM27" s="85"/>
      <c r="UTN27" s="85"/>
      <c r="UTO27" s="85"/>
      <c r="UTP27" s="85"/>
      <c r="UTQ27" s="85"/>
      <c r="UTR27" s="85"/>
      <c r="UTS27" s="85"/>
      <c r="UTT27" s="85"/>
      <c r="UTU27" s="85"/>
      <c r="UTV27" s="85"/>
      <c r="UTW27" s="85"/>
      <c r="UTX27" s="85"/>
      <c r="UTY27" s="85"/>
      <c r="UTZ27" s="85"/>
      <c r="UUA27" s="85"/>
      <c r="UUB27" s="85"/>
      <c r="UUC27" s="85"/>
      <c r="UUD27" s="85"/>
      <c r="UUE27" s="85"/>
      <c r="UUF27" s="85"/>
      <c r="UUG27" s="85"/>
      <c r="UUH27" s="85"/>
      <c r="UUI27" s="85"/>
      <c r="UUJ27" s="85"/>
      <c r="UUK27" s="85"/>
      <c r="UUL27" s="85"/>
      <c r="UUM27" s="85"/>
      <c r="UUN27" s="85"/>
      <c r="UUO27" s="85"/>
      <c r="UUP27" s="85"/>
      <c r="UUQ27" s="85"/>
      <c r="UUR27" s="85"/>
      <c r="UUS27" s="85"/>
      <c r="UUT27" s="85"/>
      <c r="UUU27" s="85"/>
      <c r="UUV27" s="85"/>
      <c r="UUW27" s="85"/>
      <c r="UUX27" s="85"/>
      <c r="UUY27" s="85"/>
      <c r="UUZ27" s="85"/>
      <c r="UVA27" s="85"/>
      <c r="UVB27" s="85"/>
      <c r="UVC27" s="85"/>
      <c r="UVD27" s="85"/>
      <c r="UVE27" s="85"/>
      <c r="UVF27" s="85"/>
      <c r="UVG27" s="85"/>
      <c r="UVH27" s="85"/>
      <c r="UVI27" s="85"/>
      <c r="UVJ27" s="85"/>
      <c r="UVK27" s="85"/>
      <c r="UVL27" s="85"/>
      <c r="UVM27" s="85"/>
      <c r="UVN27" s="85"/>
      <c r="UVO27" s="85"/>
      <c r="UVP27" s="85"/>
      <c r="UVQ27" s="85"/>
      <c r="UVR27" s="85"/>
      <c r="UVS27" s="85"/>
      <c r="UVT27" s="85"/>
      <c r="UVU27" s="85"/>
      <c r="UVV27" s="85"/>
      <c r="UVW27" s="85"/>
      <c r="UVX27" s="85"/>
      <c r="UVY27" s="85"/>
      <c r="UVZ27" s="85"/>
      <c r="UWA27" s="85"/>
      <c r="UWB27" s="85"/>
      <c r="UWC27" s="85"/>
      <c r="UWD27" s="85"/>
      <c r="UWE27" s="85"/>
      <c r="UWF27" s="85"/>
      <c r="UWG27" s="85"/>
      <c r="UWH27" s="85"/>
      <c r="UWI27" s="85"/>
      <c r="UWJ27" s="85"/>
      <c r="UWK27" s="85"/>
      <c r="UWL27" s="85"/>
      <c r="UWM27" s="85"/>
      <c r="UWN27" s="85"/>
      <c r="UWO27" s="85"/>
      <c r="UWP27" s="85"/>
      <c r="UWQ27" s="85"/>
      <c r="UWR27" s="85"/>
      <c r="UWS27" s="85"/>
      <c r="UWT27" s="85"/>
      <c r="UWU27" s="85"/>
      <c r="UWV27" s="85"/>
      <c r="UWW27" s="85"/>
      <c r="UWX27" s="85"/>
      <c r="UWY27" s="85"/>
      <c r="UWZ27" s="85"/>
      <c r="UXA27" s="85"/>
      <c r="UXB27" s="85"/>
      <c r="UXC27" s="85"/>
      <c r="UXD27" s="85"/>
      <c r="UXE27" s="85"/>
      <c r="UXF27" s="85"/>
      <c r="UXG27" s="85"/>
      <c r="UXH27" s="85"/>
      <c r="UXI27" s="85"/>
      <c r="UXJ27" s="85"/>
      <c r="UXK27" s="85"/>
      <c r="UXL27" s="85"/>
      <c r="UXM27" s="85"/>
      <c r="UXN27" s="85"/>
      <c r="UXO27" s="85"/>
      <c r="UXP27" s="85"/>
      <c r="UXQ27" s="85"/>
      <c r="UXR27" s="85"/>
      <c r="UXS27" s="85"/>
      <c r="UXT27" s="85"/>
      <c r="UXU27" s="85"/>
      <c r="UXV27" s="85"/>
      <c r="UXW27" s="85"/>
      <c r="UXX27" s="85"/>
      <c r="UXY27" s="85"/>
      <c r="UXZ27" s="85"/>
      <c r="UYA27" s="85"/>
      <c r="UYB27" s="85"/>
      <c r="UYC27" s="85"/>
      <c r="UYD27" s="85"/>
      <c r="UYE27" s="85"/>
      <c r="UYF27" s="85"/>
      <c r="UYG27" s="85"/>
      <c r="UYH27" s="85"/>
      <c r="UYI27" s="85"/>
      <c r="UYJ27" s="85"/>
      <c r="UYK27" s="85"/>
      <c r="UYL27" s="85"/>
      <c r="UYM27" s="85"/>
      <c r="UYN27" s="85"/>
      <c r="UYO27" s="85"/>
      <c r="UYP27" s="85"/>
      <c r="UYQ27" s="85"/>
      <c r="UYR27" s="85"/>
      <c r="UYS27" s="85"/>
      <c r="UYT27" s="85"/>
      <c r="UYU27" s="85"/>
      <c r="UYV27" s="85"/>
      <c r="UYW27" s="85"/>
      <c r="UYX27" s="85"/>
      <c r="UYY27" s="85"/>
      <c r="UYZ27" s="85"/>
      <c r="UZA27" s="85"/>
      <c r="UZB27" s="85"/>
      <c r="UZC27" s="85"/>
      <c r="UZD27" s="85"/>
      <c r="UZE27" s="85"/>
      <c r="UZF27" s="85"/>
      <c r="UZG27" s="85"/>
      <c r="UZH27" s="85"/>
      <c r="UZI27" s="85"/>
      <c r="UZJ27" s="85"/>
      <c r="UZK27" s="85"/>
      <c r="UZL27" s="85"/>
      <c r="UZM27" s="85"/>
      <c r="UZN27" s="85"/>
      <c r="UZO27" s="85"/>
      <c r="UZP27" s="85"/>
      <c r="UZQ27" s="85"/>
      <c r="UZR27" s="85"/>
      <c r="UZS27" s="85"/>
      <c r="UZT27" s="85"/>
      <c r="UZU27" s="85"/>
      <c r="UZV27" s="85"/>
      <c r="UZW27" s="85"/>
      <c r="UZX27" s="85"/>
      <c r="UZY27" s="85"/>
      <c r="UZZ27" s="85"/>
      <c r="VAA27" s="85"/>
      <c r="VAB27" s="85"/>
      <c r="VAC27" s="85"/>
      <c r="VAD27" s="85"/>
      <c r="VAE27" s="85"/>
      <c r="VAF27" s="85"/>
      <c r="VAG27" s="85"/>
      <c r="VAH27" s="85"/>
      <c r="VAI27" s="85"/>
      <c r="VAJ27" s="85"/>
      <c r="VAK27" s="85"/>
      <c r="VAL27" s="85"/>
      <c r="VAM27" s="85"/>
      <c r="VAN27" s="85"/>
      <c r="VAO27" s="85"/>
      <c r="VAP27" s="85"/>
      <c r="VAQ27" s="85"/>
      <c r="VAR27" s="85"/>
      <c r="VAS27" s="85"/>
      <c r="VAT27" s="85"/>
      <c r="VAU27" s="85"/>
      <c r="VAV27" s="85"/>
      <c r="VAW27" s="85"/>
      <c r="VAX27" s="85"/>
      <c r="VAY27" s="85"/>
      <c r="VAZ27" s="85"/>
      <c r="VBA27" s="85"/>
      <c r="VBB27" s="85"/>
      <c r="VBC27" s="85"/>
      <c r="VBD27" s="85"/>
      <c r="VBE27" s="85"/>
      <c r="VBF27" s="85"/>
      <c r="VBG27" s="85"/>
      <c r="VBH27" s="85"/>
      <c r="VBI27" s="85"/>
      <c r="VBJ27" s="85"/>
      <c r="VBK27" s="85"/>
      <c r="VBL27" s="85"/>
      <c r="VBM27" s="85"/>
      <c r="VBN27" s="85"/>
      <c r="VBO27" s="85"/>
      <c r="VBP27" s="85"/>
      <c r="VBQ27" s="85"/>
      <c r="VBR27" s="85"/>
      <c r="VBS27" s="85"/>
      <c r="VBT27" s="85"/>
      <c r="VBU27" s="85"/>
      <c r="VBV27" s="85"/>
      <c r="VBW27" s="85"/>
      <c r="VBX27" s="85"/>
      <c r="VBY27" s="85"/>
      <c r="VBZ27" s="85"/>
      <c r="VCA27" s="85"/>
      <c r="VCB27" s="85"/>
      <c r="VCC27" s="85"/>
      <c r="VCD27" s="85"/>
      <c r="VCE27" s="85"/>
      <c r="VCF27" s="85"/>
      <c r="VCG27" s="85"/>
      <c r="VCH27" s="85"/>
      <c r="VCI27" s="85"/>
      <c r="VCJ27" s="85"/>
      <c r="VCK27" s="85"/>
      <c r="VCL27" s="85"/>
      <c r="VCM27" s="85"/>
      <c r="VCN27" s="85"/>
      <c r="VCO27" s="85"/>
      <c r="VCP27" s="85"/>
      <c r="VCQ27" s="85"/>
      <c r="VCR27" s="85"/>
      <c r="VCS27" s="85"/>
      <c r="VCT27" s="85"/>
      <c r="VCU27" s="85"/>
      <c r="VCV27" s="85"/>
      <c r="VCW27" s="85"/>
      <c r="VCX27" s="85"/>
      <c r="VCY27" s="85"/>
      <c r="VCZ27" s="85"/>
      <c r="VDA27" s="85"/>
      <c r="VDB27" s="85"/>
      <c r="VDC27" s="85"/>
      <c r="VDD27" s="85"/>
      <c r="VDE27" s="85"/>
      <c r="VDF27" s="85"/>
      <c r="VDG27" s="85"/>
      <c r="VDH27" s="85"/>
      <c r="VDI27" s="85"/>
      <c r="VDJ27" s="85"/>
      <c r="VDK27" s="85"/>
      <c r="VDL27" s="85"/>
      <c r="VDM27" s="85"/>
      <c r="VDN27" s="85"/>
      <c r="VDO27" s="85"/>
      <c r="VDP27" s="85"/>
      <c r="VDQ27" s="85"/>
      <c r="VDR27" s="85"/>
      <c r="VDS27" s="85"/>
      <c r="VDT27" s="85"/>
      <c r="VDU27" s="85"/>
      <c r="VDV27" s="85"/>
      <c r="VDW27" s="85"/>
      <c r="VDX27" s="85"/>
      <c r="VDY27" s="85"/>
      <c r="VDZ27" s="85"/>
      <c r="VEA27" s="85"/>
      <c r="VEB27" s="85"/>
      <c r="VEC27" s="85"/>
      <c r="VED27" s="85"/>
      <c r="VEE27" s="85"/>
      <c r="VEF27" s="85"/>
      <c r="VEG27" s="85"/>
      <c r="VEH27" s="85"/>
      <c r="VEI27" s="85"/>
      <c r="VEJ27" s="85"/>
      <c r="VEK27" s="85"/>
      <c r="VEL27" s="85"/>
      <c r="VEM27" s="85"/>
      <c r="VEN27" s="85"/>
      <c r="VEO27" s="85"/>
      <c r="VEP27" s="85"/>
      <c r="VEQ27" s="85"/>
      <c r="VER27" s="85"/>
      <c r="VES27" s="85"/>
      <c r="VET27" s="85"/>
      <c r="VEU27" s="85"/>
      <c r="VEV27" s="85"/>
      <c r="VEW27" s="85"/>
      <c r="VEX27" s="85"/>
      <c r="VEY27" s="85"/>
      <c r="VEZ27" s="85"/>
      <c r="VFA27" s="85"/>
      <c r="VFB27" s="85"/>
      <c r="VFC27" s="85"/>
      <c r="VFD27" s="85"/>
      <c r="VFE27" s="85"/>
      <c r="VFF27" s="85"/>
      <c r="VFG27" s="85"/>
      <c r="VFH27" s="85"/>
      <c r="VFI27" s="85"/>
      <c r="VFJ27" s="85"/>
      <c r="VFK27" s="85"/>
      <c r="VFL27" s="85"/>
      <c r="VFM27" s="85"/>
      <c r="VFN27" s="85"/>
      <c r="VFO27" s="85"/>
      <c r="VFP27" s="85"/>
      <c r="VFQ27" s="85"/>
      <c r="VFR27" s="85"/>
      <c r="VFS27" s="85"/>
      <c r="VFT27" s="85"/>
      <c r="VFU27" s="85"/>
      <c r="VFV27" s="85"/>
      <c r="VFW27" s="85"/>
      <c r="VFX27" s="85"/>
      <c r="VFY27" s="85"/>
      <c r="VFZ27" s="85"/>
      <c r="VGA27" s="85"/>
      <c r="VGB27" s="85"/>
      <c r="VGC27" s="85"/>
      <c r="VGD27" s="85"/>
      <c r="VGE27" s="85"/>
      <c r="VGF27" s="85"/>
      <c r="VGG27" s="85"/>
      <c r="VGH27" s="85"/>
      <c r="VGI27" s="85"/>
      <c r="VGJ27" s="85"/>
      <c r="VGK27" s="85"/>
      <c r="VGL27" s="85"/>
      <c r="VGM27" s="85"/>
      <c r="VGN27" s="85"/>
      <c r="VGO27" s="85"/>
      <c r="VGP27" s="85"/>
      <c r="VGQ27" s="85"/>
      <c r="VGR27" s="85"/>
      <c r="VGS27" s="85"/>
      <c r="VGT27" s="85"/>
      <c r="VGU27" s="85"/>
      <c r="VGV27" s="85"/>
      <c r="VGW27" s="85"/>
      <c r="VGX27" s="85"/>
      <c r="VGY27" s="85"/>
      <c r="VGZ27" s="85"/>
      <c r="VHA27" s="85"/>
      <c r="VHB27" s="85"/>
      <c r="VHC27" s="85"/>
      <c r="VHD27" s="85"/>
      <c r="VHE27" s="85"/>
      <c r="VHF27" s="85"/>
      <c r="VHG27" s="85"/>
      <c r="VHH27" s="85"/>
      <c r="VHI27" s="85"/>
      <c r="VHJ27" s="85"/>
      <c r="VHK27" s="85"/>
      <c r="VHL27" s="85"/>
      <c r="VHM27" s="85"/>
      <c r="VHN27" s="85"/>
      <c r="VHO27" s="85"/>
      <c r="VHP27" s="85"/>
      <c r="VHQ27" s="85"/>
      <c r="VHR27" s="85"/>
      <c r="VHS27" s="85"/>
      <c r="VHT27" s="85"/>
      <c r="VHU27" s="85"/>
      <c r="VHV27" s="85"/>
      <c r="VHW27" s="85"/>
      <c r="VHX27" s="85"/>
      <c r="VHY27" s="85"/>
      <c r="VHZ27" s="85"/>
      <c r="VIA27" s="85"/>
      <c r="VIB27" s="85"/>
      <c r="VIC27" s="85"/>
      <c r="VID27" s="85"/>
      <c r="VIE27" s="85"/>
      <c r="VIF27" s="85"/>
      <c r="VIG27" s="85"/>
      <c r="VIH27" s="85"/>
      <c r="VII27" s="85"/>
      <c r="VIJ27" s="85"/>
      <c r="VIK27" s="85"/>
      <c r="VIL27" s="85"/>
      <c r="VIM27" s="85"/>
      <c r="VIN27" s="85"/>
      <c r="VIO27" s="85"/>
      <c r="VIP27" s="85"/>
      <c r="VIQ27" s="85"/>
      <c r="VIR27" s="85"/>
      <c r="VIS27" s="85"/>
      <c r="VIT27" s="85"/>
      <c r="VIU27" s="85"/>
      <c r="VIV27" s="85"/>
      <c r="VIW27" s="85"/>
      <c r="VIX27" s="85"/>
      <c r="VIY27" s="85"/>
      <c r="VIZ27" s="85"/>
      <c r="VJA27" s="85"/>
      <c r="VJB27" s="85"/>
      <c r="VJC27" s="85"/>
      <c r="VJD27" s="85"/>
      <c r="VJE27" s="85"/>
      <c r="VJF27" s="85"/>
      <c r="VJG27" s="85"/>
      <c r="VJH27" s="85"/>
      <c r="VJI27" s="85"/>
      <c r="VJJ27" s="85"/>
      <c r="VJK27" s="85"/>
      <c r="VJL27" s="85"/>
      <c r="VJM27" s="85"/>
      <c r="VJN27" s="85"/>
      <c r="VJO27" s="85"/>
      <c r="VJP27" s="85"/>
      <c r="VJQ27" s="85"/>
      <c r="VJR27" s="85"/>
      <c r="VJS27" s="85"/>
      <c r="VJT27" s="85"/>
      <c r="VJU27" s="85"/>
      <c r="VJV27" s="85"/>
      <c r="VJW27" s="85"/>
      <c r="VJX27" s="85"/>
      <c r="VJY27" s="85"/>
      <c r="VJZ27" s="85"/>
      <c r="VKA27" s="85"/>
      <c r="VKB27" s="85"/>
      <c r="VKC27" s="85"/>
      <c r="VKD27" s="85"/>
      <c r="VKE27" s="85"/>
      <c r="VKF27" s="85"/>
      <c r="VKG27" s="85"/>
      <c r="VKH27" s="85"/>
      <c r="VKI27" s="85"/>
      <c r="VKJ27" s="85"/>
      <c r="VKK27" s="85"/>
      <c r="VKL27" s="85"/>
      <c r="VKM27" s="85"/>
      <c r="VKN27" s="85"/>
      <c r="VKO27" s="85"/>
      <c r="VKP27" s="85"/>
      <c r="VKQ27" s="85"/>
      <c r="VKR27" s="85"/>
      <c r="VKS27" s="85"/>
      <c r="VKT27" s="85"/>
      <c r="VKU27" s="85"/>
      <c r="VKV27" s="85"/>
      <c r="VKW27" s="85"/>
      <c r="VKX27" s="85"/>
      <c r="VKY27" s="85"/>
      <c r="VKZ27" s="85"/>
      <c r="VLA27" s="85"/>
      <c r="VLB27" s="85"/>
      <c r="VLC27" s="85"/>
      <c r="VLD27" s="85"/>
      <c r="VLE27" s="85"/>
      <c r="VLF27" s="85"/>
      <c r="VLG27" s="85"/>
      <c r="VLH27" s="85"/>
      <c r="VLI27" s="85"/>
      <c r="VLJ27" s="85"/>
      <c r="VLK27" s="85"/>
      <c r="VLL27" s="85"/>
      <c r="VLM27" s="85"/>
      <c r="VLN27" s="85"/>
      <c r="VLO27" s="85"/>
      <c r="VLP27" s="85"/>
      <c r="VLQ27" s="85"/>
      <c r="VLR27" s="85"/>
      <c r="VLS27" s="85"/>
      <c r="VLT27" s="85"/>
      <c r="VLU27" s="85"/>
      <c r="VLV27" s="85"/>
      <c r="VLW27" s="85"/>
      <c r="VLX27" s="85"/>
      <c r="VLY27" s="85"/>
      <c r="VLZ27" s="85"/>
      <c r="VMA27" s="85"/>
      <c r="VMB27" s="85"/>
      <c r="VMC27" s="85"/>
      <c r="VMD27" s="85"/>
      <c r="VME27" s="85"/>
      <c r="VMF27" s="85"/>
      <c r="VMG27" s="85"/>
      <c r="VMH27" s="85"/>
      <c r="VMI27" s="85"/>
      <c r="VMJ27" s="85"/>
      <c r="VMK27" s="85"/>
      <c r="VML27" s="85"/>
      <c r="VMM27" s="85"/>
      <c r="VMN27" s="85"/>
      <c r="VMO27" s="85"/>
      <c r="VMP27" s="85"/>
      <c r="VMQ27" s="85"/>
      <c r="VMR27" s="85"/>
      <c r="VMS27" s="85"/>
      <c r="VMT27" s="85"/>
      <c r="VMU27" s="85"/>
      <c r="VMV27" s="85"/>
      <c r="VMW27" s="85"/>
      <c r="VMX27" s="85"/>
      <c r="VMY27" s="85"/>
      <c r="VMZ27" s="85"/>
      <c r="VNA27" s="85"/>
      <c r="VNB27" s="85"/>
      <c r="VNC27" s="85"/>
      <c r="VND27" s="85"/>
      <c r="VNE27" s="85"/>
      <c r="VNF27" s="85"/>
      <c r="VNG27" s="85"/>
      <c r="VNH27" s="85"/>
      <c r="VNI27" s="85"/>
      <c r="VNJ27" s="85"/>
      <c r="VNK27" s="85"/>
      <c r="VNL27" s="85"/>
      <c r="VNM27" s="85"/>
      <c r="VNN27" s="85"/>
      <c r="VNO27" s="85"/>
      <c r="VNP27" s="85"/>
      <c r="VNQ27" s="85"/>
      <c r="VNR27" s="85"/>
      <c r="VNS27" s="85"/>
      <c r="VNT27" s="85"/>
      <c r="VNU27" s="85"/>
      <c r="VNV27" s="85"/>
      <c r="VNW27" s="85"/>
      <c r="VNX27" s="85"/>
      <c r="VNY27" s="85"/>
      <c r="VNZ27" s="85"/>
      <c r="VOA27" s="85"/>
      <c r="VOB27" s="85"/>
      <c r="VOC27" s="85"/>
      <c r="VOD27" s="85"/>
      <c r="VOE27" s="85"/>
      <c r="VOF27" s="85"/>
      <c r="VOG27" s="85"/>
      <c r="VOH27" s="85"/>
      <c r="VOI27" s="85"/>
      <c r="VOJ27" s="85"/>
      <c r="VOK27" s="85"/>
      <c r="VOL27" s="85"/>
      <c r="VOM27" s="85"/>
      <c r="VON27" s="85"/>
      <c r="VOO27" s="85"/>
      <c r="VOP27" s="85"/>
      <c r="VOQ27" s="85"/>
      <c r="VOR27" s="85"/>
      <c r="VOS27" s="85"/>
      <c r="VOT27" s="85"/>
      <c r="VOU27" s="85"/>
      <c r="VOV27" s="85"/>
      <c r="VOW27" s="85"/>
      <c r="VOX27" s="85"/>
      <c r="VOY27" s="85"/>
      <c r="VOZ27" s="85"/>
      <c r="VPA27" s="85"/>
      <c r="VPB27" s="85"/>
      <c r="VPC27" s="85"/>
      <c r="VPD27" s="85"/>
      <c r="VPE27" s="85"/>
      <c r="VPF27" s="85"/>
      <c r="VPG27" s="85"/>
      <c r="VPH27" s="85"/>
      <c r="VPI27" s="85"/>
      <c r="VPJ27" s="85"/>
      <c r="VPK27" s="85"/>
      <c r="VPL27" s="85"/>
      <c r="VPM27" s="85"/>
      <c r="VPN27" s="85"/>
      <c r="VPO27" s="85"/>
      <c r="VPP27" s="85"/>
      <c r="VPQ27" s="85"/>
      <c r="VPR27" s="85"/>
      <c r="VPS27" s="85"/>
      <c r="VPT27" s="85"/>
      <c r="VPU27" s="85"/>
      <c r="VPV27" s="85"/>
      <c r="VPW27" s="85"/>
      <c r="VPX27" s="85"/>
      <c r="VPY27" s="85"/>
      <c r="VPZ27" s="85"/>
      <c r="VQA27" s="85"/>
      <c r="VQB27" s="85"/>
      <c r="VQC27" s="85"/>
      <c r="VQD27" s="85"/>
      <c r="VQE27" s="85"/>
      <c r="VQF27" s="85"/>
      <c r="VQG27" s="85"/>
      <c r="VQH27" s="85"/>
      <c r="VQI27" s="85"/>
      <c r="VQJ27" s="85"/>
      <c r="VQK27" s="85"/>
      <c r="VQL27" s="85"/>
      <c r="VQM27" s="85"/>
      <c r="VQN27" s="85"/>
      <c r="VQO27" s="85"/>
      <c r="VQP27" s="85"/>
      <c r="VQQ27" s="85"/>
      <c r="VQR27" s="85"/>
      <c r="VQS27" s="85"/>
      <c r="VQT27" s="85"/>
      <c r="VQU27" s="85"/>
      <c r="VQV27" s="85"/>
      <c r="VQW27" s="85"/>
      <c r="VQX27" s="85"/>
      <c r="VQY27" s="85"/>
      <c r="VQZ27" s="85"/>
      <c r="VRA27" s="85"/>
      <c r="VRB27" s="85"/>
      <c r="VRC27" s="85"/>
      <c r="VRD27" s="85"/>
      <c r="VRE27" s="85"/>
      <c r="VRF27" s="85"/>
      <c r="VRG27" s="85"/>
      <c r="VRH27" s="85"/>
      <c r="VRI27" s="85"/>
      <c r="VRJ27" s="85"/>
      <c r="VRK27" s="85"/>
      <c r="VRL27" s="85"/>
      <c r="VRM27" s="85"/>
      <c r="VRN27" s="85"/>
      <c r="VRO27" s="85"/>
      <c r="VRP27" s="85"/>
      <c r="VRQ27" s="85"/>
      <c r="VRR27" s="85"/>
      <c r="VRS27" s="85"/>
      <c r="VRT27" s="85"/>
      <c r="VRU27" s="85"/>
      <c r="VRV27" s="85"/>
      <c r="VRW27" s="85"/>
      <c r="VRX27" s="85"/>
      <c r="VRY27" s="85"/>
      <c r="VRZ27" s="85"/>
      <c r="VSA27" s="85"/>
      <c r="VSB27" s="85"/>
      <c r="VSC27" s="85"/>
      <c r="VSD27" s="85"/>
      <c r="VSE27" s="85"/>
      <c r="VSF27" s="85"/>
      <c r="VSG27" s="85"/>
      <c r="VSH27" s="85"/>
      <c r="VSI27" s="85"/>
      <c r="VSJ27" s="85"/>
      <c r="VSK27" s="85"/>
      <c r="VSL27" s="85"/>
      <c r="VSM27" s="85"/>
      <c r="VSN27" s="85"/>
      <c r="VSO27" s="85"/>
      <c r="VSP27" s="85"/>
      <c r="VSQ27" s="85"/>
      <c r="VSR27" s="85"/>
      <c r="VSS27" s="85"/>
      <c r="VST27" s="85"/>
      <c r="VSU27" s="85"/>
      <c r="VSV27" s="85"/>
      <c r="VSW27" s="85"/>
      <c r="VSX27" s="85"/>
      <c r="VSY27" s="85"/>
      <c r="VSZ27" s="85"/>
      <c r="VTA27" s="85"/>
      <c r="VTB27" s="85"/>
      <c r="VTC27" s="85"/>
      <c r="VTD27" s="85"/>
      <c r="VTE27" s="85"/>
      <c r="VTF27" s="85"/>
      <c r="VTG27" s="85"/>
      <c r="VTH27" s="85"/>
      <c r="VTI27" s="85"/>
      <c r="VTJ27" s="85"/>
      <c r="VTK27" s="85"/>
      <c r="VTL27" s="85"/>
      <c r="VTM27" s="85"/>
      <c r="VTN27" s="85"/>
      <c r="VTO27" s="85"/>
      <c r="VTP27" s="85"/>
      <c r="VTQ27" s="85"/>
      <c r="VTR27" s="85"/>
      <c r="VTS27" s="85"/>
      <c r="VTT27" s="85"/>
      <c r="VTU27" s="85"/>
      <c r="VTV27" s="85"/>
      <c r="VTW27" s="85"/>
      <c r="VTX27" s="85"/>
      <c r="VTY27" s="85"/>
      <c r="VTZ27" s="85"/>
      <c r="VUA27" s="85"/>
      <c r="VUB27" s="85"/>
      <c r="VUC27" s="85"/>
      <c r="VUD27" s="85"/>
      <c r="VUE27" s="85"/>
      <c r="VUF27" s="85"/>
      <c r="VUG27" s="85"/>
      <c r="VUH27" s="85"/>
      <c r="VUI27" s="85"/>
      <c r="VUJ27" s="85"/>
      <c r="VUK27" s="85"/>
      <c r="VUL27" s="85"/>
      <c r="VUM27" s="85"/>
      <c r="VUN27" s="85"/>
      <c r="VUO27" s="85"/>
      <c r="VUP27" s="85"/>
      <c r="VUQ27" s="85"/>
      <c r="VUR27" s="85"/>
      <c r="VUS27" s="85"/>
      <c r="VUT27" s="85"/>
      <c r="VUU27" s="85"/>
      <c r="VUV27" s="85"/>
      <c r="VUW27" s="85"/>
      <c r="VUX27" s="85"/>
      <c r="VUY27" s="85"/>
      <c r="VUZ27" s="85"/>
      <c r="VVA27" s="85"/>
      <c r="VVB27" s="85"/>
      <c r="VVC27" s="85"/>
      <c r="VVD27" s="85"/>
      <c r="VVE27" s="85"/>
      <c r="VVF27" s="85"/>
      <c r="VVG27" s="85"/>
      <c r="VVH27" s="85"/>
      <c r="VVI27" s="85"/>
      <c r="VVJ27" s="85"/>
      <c r="VVK27" s="85"/>
      <c r="VVL27" s="85"/>
      <c r="VVM27" s="85"/>
      <c r="VVN27" s="85"/>
      <c r="VVO27" s="85"/>
      <c r="VVP27" s="85"/>
      <c r="VVQ27" s="85"/>
      <c r="VVR27" s="85"/>
      <c r="VVS27" s="85"/>
      <c r="VVT27" s="85"/>
      <c r="VVU27" s="85"/>
      <c r="VVV27" s="85"/>
      <c r="VVW27" s="85"/>
      <c r="VVX27" s="85"/>
      <c r="VVY27" s="85"/>
      <c r="VVZ27" s="85"/>
      <c r="VWA27" s="85"/>
      <c r="VWB27" s="85"/>
      <c r="VWC27" s="85"/>
      <c r="VWD27" s="85"/>
      <c r="VWE27" s="85"/>
      <c r="VWF27" s="85"/>
      <c r="VWG27" s="85"/>
      <c r="VWH27" s="85"/>
      <c r="VWI27" s="85"/>
      <c r="VWJ27" s="85"/>
      <c r="VWK27" s="85"/>
      <c r="VWL27" s="85"/>
      <c r="VWM27" s="85"/>
      <c r="VWN27" s="85"/>
      <c r="VWO27" s="85"/>
      <c r="VWP27" s="85"/>
      <c r="VWQ27" s="85"/>
      <c r="VWR27" s="85"/>
      <c r="VWS27" s="85"/>
      <c r="VWT27" s="85"/>
      <c r="VWU27" s="85"/>
      <c r="VWV27" s="85"/>
      <c r="VWW27" s="85"/>
      <c r="VWX27" s="85"/>
      <c r="VWY27" s="85"/>
      <c r="VWZ27" s="85"/>
      <c r="VXA27" s="85"/>
      <c r="VXB27" s="85"/>
      <c r="VXC27" s="85"/>
      <c r="VXD27" s="85"/>
      <c r="VXE27" s="85"/>
      <c r="VXF27" s="85"/>
      <c r="VXG27" s="85"/>
      <c r="VXH27" s="85"/>
      <c r="VXI27" s="85"/>
      <c r="VXJ27" s="85"/>
      <c r="VXK27" s="85"/>
      <c r="VXL27" s="85"/>
      <c r="VXM27" s="85"/>
      <c r="VXN27" s="85"/>
      <c r="VXO27" s="85"/>
      <c r="VXP27" s="85"/>
      <c r="VXQ27" s="85"/>
      <c r="VXR27" s="85"/>
      <c r="VXS27" s="85"/>
      <c r="VXT27" s="85"/>
      <c r="VXU27" s="85"/>
      <c r="VXV27" s="85"/>
      <c r="VXW27" s="85"/>
      <c r="VXX27" s="85"/>
      <c r="VXY27" s="85"/>
      <c r="VXZ27" s="85"/>
      <c r="VYA27" s="85"/>
      <c r="VYB27" s="85"/>
      <c r="VYC27" s="85"/>
      <c r="VYD27" s="85"/>
      <c r="VYE27" s="85"/>
      <c r="VYF27" s="85"/>
      <c r="VYG27" s="85"/>
      <c r="VYH27" s="85"/>
      <c r="VYI27" s="85"/>
      <c r="VYJ27" s="85"/>
      <c r="VYK27" s="85"/>
      <c r="VYL27" s="85"/>
      <c r="VYM27" s="85"/>
      <c r="VYN27" s="85"/>
      <c r="VYO27" s="85"/>
      <c r="VYP27" s="85"/>
      <c r="VYQ27" s="85"/>
      <c r="VYR27" s="85"/>
      <c r="VYS27" s="85"/>
      <c r="VYT27" s="85"/>
      <c r="VYU27" s="85"/>
      <c r="VYV27" s="85"/>
      <c r="VYW27" s="85"/>
      <c r="VYX27" s="85"/>
      <c r="VYY27" s="85"/>
      <c r="VYZ27" s="85"/>
      <c r="VZA27" s="85"/>
      <c r="VZB27" s="85"/>
      <c r="VZC27" s="85"/>
      <c r="VZD27" s="85"/>
      <c r="VZE27" s="85"/>
      <c r="VZF27" s="85"/>
      <c r="VZG27" s="85"/>
      <c r="VZH27" s="85"/>
      <c r="VZI27" s="85"/>
      <c r="VZJ27" s="85"/>
      <c r="VZK27" s="85"/>
      <c r="VZL27" s="85"/>
      <c r="VZM27" s="85"/>
      <c r="VZN27" s="85"/>
      <c r="VZO27" s="85"/>
      <c r="VZP27" s="85"/>
      <c r="VZQ27" s="85"/>
      <c r="VZR27" s="85"/>
      <c r="VZS27" s="85"/>
      <c r="VZT27" s="85"/>
      <c r="VZU27" s="85"/>
      <c r="VZV27" s="85"/>
      <c r="VZW27" s="85"/>
      <c r="VZX27" s="85"/>
      <c r="VZY27" s="85"/>
      <c r="VZZ27" s="85"/>
      <c r="WAA27" s="85"/>
      <c r="WAB27" s="85"/>
      <c r="WAC27" s="85"/>
      <c r="WAD27" s="85"/>
      <c r="WAE27" s="85"/>
      <c r="WAF27" s="85"/>
      <c r="WAG27" s="85"/>
      <c r="WAH27" s="85"/>
      <c r="WAI27" s="85"/>
      <c r="WAJ27" s="85"/>
      <c r="WAK27" s="85"/>
      <c r="WAL27" s="85"/>
      <c r="WAM27" s="85"/>
      <c r="WAN27" s="85"/>
      <c r="WAO27" s="85"/>
      <c r="WAP27" s="85"/>
      <c r="WAQ27" s="85"/>
      <c r="WAR27" s="85"/>
      <c r="WAS27" s="85"/>
      <c r="WAT27" s="85"/>
      <c r="WAU27" s="85"/>
      <c r="WAV27" s="85"/>
      <c r="WAW27" s="85"/>
      <c r="WAX27" s="85"/>
      <c r="WAY27" s="85"/>
      <c r="WAZ27" s="85"/>
      <c r="WBA27" s="85"/>
      <c r="WBB27" s="85"/>
      <c r="WBC27" s="85"/>
      <c r="WBD27" s="85"/>
      <c r="WBE27" s="85"/>
      <c r="WBF27" s="85"/>
      <c r="WBG27" s="85"/>
      <c r="WBH27" s="85"/>
      <c r="WBI27" s="85"/>
      <c r="WBJ27" s="85"/>
      <c r="WBK27" s="85"/>
      <c r="WBL27" s="85"/>
      <c r="WBM27" s="85"/>
      <c r="WBN27" s="85"/>
      <c r="WBO27" s="85"/>
      <c r="WBP27" s="85"/>
      <c r="WBQ27" s="85"/>
      <c r="WBR27" s="85"/>
      <c r="WBS27" s="85"/>
      <c r="WBT27" s="85"/>
      <c r="WBU27" s="85"/>
      <c r="WBV27" s="85"/>
      <c r="WBW27" s="85"/>
      <c r="WBX27" s="85"/>
      <c r="WBY27" s="85"/>
      <c r="WBZ27" s="85"/>
      <c r="WCA27" s="85"/>
      <c r="WCB27" s="85"/>
      <c r="WCC27" s="85"/>
      <c r="WCD27" s="85"/>
      <c r="WCE27" s="85"/>
      <c r="WCF27" s="85"/>
      <c r="WCG27" s="85"/>
      <c r="WCH27" s="85"/>
      <c r="WCI27" s="85"/>
      <c r="WCJ27" s="85"/>
      <c r="WCK27" s="85"/>
      <c r="WCL27" s="85"/>
      <c r="WCM27" s="85"/>
      <c r="WCN27" s="85"/>
      <c r="WCO27" s="85"/>
      <c r="WCP27" s="85"/>
      <c r="WCQ27" s="85"/>
      <c r="WCR27" s="85"/>
      <c r="WCS27" s="85"/>
      <c r="WCT27" s="85"/>
      <c r="WCU27" s="85"/>
      <c r="WCV27" s="85"/>
      <c r="WCW27" s="85"/>
      <c r="WCX27" s="85"/>
      <c r="WCY27" s="85"/>
      <c r="WCZ27" s="85"/>
      <c r="WDA27" s="85"/>
      <c r="WDB27" s="85"/>
      <c r="WDC27" s="85"/>
      <c r="WDD27" s="85"/>
      <c r="WDE27" s="85"/>
      <c r="WDF27" s="85"/>
      <c r="WDG27" s="85"/>
      <c r="WDH27" s="85"/>
      <c r="WDI27" s="85"/>
      <c r="WDJ27" s="85"/>
      <c r="WDK27" s="85"/>
      <c r="WDL27" s="85"/>
      <c r="WDM27" s="85"/>
      <c r="WDN27" s="85"/>
      <c r="WDO27" s="85"/>
      <c r="WDP27" s="85"/>
      <c r="WDQ27" s="85"/>
      <c r="WDR27" s="85"/>
      <c r="WDS27" s="85"/>
      <c r="WDT27" s="85"/>
      <c r="WDU27" s="85"/>
      <c r="WDV27" s="85"/>
      <c r="WDW27" s="85"/>
      <c r="WDX27" s="85"/>
      <c r="WDY27" s="85"/>
      <c r="WDZ27" s="85"/>
      <c r="WEA27" s="85"/>
      <c r="WEB27" s="85"/>
      <c r="WEC27" s="85"/>
      <c r="WED27" s="85"/>
      <c r="WEE27" s="85"/>
      <c r="WEF27" s="85"/>
      <c r="WEG27" s="85"/>
      <c r="WEH27" s="85"/>
      <c r="WEI27" s="85"/>
      <c r="WEJ27" s="85"/>
      <c r="WEK27" s="85"/>
      <c r="WEL27" s="85"/>
      <c r="WEM27" s="85"/>
      <c r="WEN27" s="85"/>
      <c r="WEO27" s="85"/>
      <c r="WEP27" s="85"/>
      <c r="WEQ27" s="85"/>
      <c r="WER27" s="85"/>
      <c r="WES27" s="85"/>
      <c r="WET27" s="85"/>
      <c r="WEU27" s="85"/>
      <c r="WEV27" s="85"/>
      <c r="WEW27" s="85"/>
      <c r="WEX27" s="85"/>
      <c r="WEY27" s="85"/>
      <c r="WEZ27" s="85"/>
      <c r="WFA27" s="85"/>
      <c r="WFB27" s="85"/>
      <c r="WFC27" s="85"/>
      <c r="WFD27" s="85"/>
      <c r="WFE27" s="85"/>
      <c r="WFF27" s="85"/>
      <c r="WFG27" s="85"/>
      <c r="WFH27" s="85"/>
      <c r="WFI27" s="85"/>
      <c r="WFJ27" s="85"/>
      <c r="WFK27" s="85"/>
      <c r="WFL27" s="85"/>
      <c r="WFM27" s="85"/>
      <c r="WFN27" s="85"/>
      <c r="WFO27" s="85"/>
      <c r="WFP27" s="85"/>
      <c r="WFQ27" s="85"/>
      <c r="WFR27" s="85"/>
      <c r="WFS27" s="85"/>
      <c r="WFT27" s="85"/>
      <c r="WFU27" s="85"/>
      <c r="WFV27" s="85"/>
      <c r="WFW27" s="85"/>
      <c r="WFX27" s="85"/>
      <c r="WFY27" s="85"/>
      <c r="WFZ27" s="85"/>
      <c r="WGA27" s="85"/>
      <c r="WGB27" s="85"/>
      <c r="WGC27" s="85"/>
      <c r="WGD27" s="85"/>
      <c r="WGE27" s="85"/>
      <c r="WGF27" s="85"/>
      <c r="WGG27" s="85"/>
      <c r="WGH27" s="85"/>
      <c r="WGI27" s="85"/>
      <c r="WGJ27" s="85"/>
      <c r="WGK27" s="85"/>
      <c r="WGL27" s="85"/>
      <c r="WGM27" s="85"/>
      <c r="WGN27" s="85"/>
      <c r="WGO27" s="85"/>
      <c r="WGP27" s="85"/>
      <c r="WGQ27" s="85"/>
      <c r="WGR27" s="85"/>
      <c r="WGS27" s="85"/>
      <c r="WGT27" s="85"/>
      <c r="WGU27" s="85"/>
      <c r="WGV27" s="85"/>
      <c r="WGW27" s="85"/>
      <c r="WGX27" s="85"/>
      <c r="WGY27" s="85"/>
      <c r="WGZ27" s="85"/>
      <c r="WHA27" s="85"/>
      <c r="WHB27" s="85"/>
      <c r="WHC27" s="85"/>
      <c r="WHD27" s="85"/>
      <c r="WHE27" s="85"/>
      <c r="WHF27" s="85"/>
      <c r="WHG27" s="85"/>
      <c r="WHH27" s="85"/>
      <c r="WHI27" s="85"/>
      <c r="WHJ27" s="85"/>
      <c r="WHK27" s="85"/>
      <c r="WHL27" s="85"/>
      <c r="WHM27" s="85"/>
      <c r="WHN27" s="85"/>
      <c r="WHO27" s="85"/>
      <c r="WHP27" s="85"/>
      <c r="WHQ27" s="85"/>
      <c r="WHR27" s="85"/>
      <c r="WHS27" s="85"/>
      <c r="WHT27" s="85"/>
      <c r="WHU27" s="85"/>
      <c r="WHV27" s="85"/>
      <c r="WHW27" s="85"/>
      <c r="WHX27" s="85"/>
      <c r="WHY27" s="85"/>
      <c r="WHZ27" s="85"/>
      <c r="WIA27" s="85"/>
      <c r="WIB27" s="85"/>
      <c r="WIC27" s="85"/>
      <c r="WID27" s="85"/>
      <c r="WIE27" s="85"/>
      <c r="WIF27" s="85"/>
      <c r="WIG27" s="85"/>
      <c r="WIH27" s="85"/>
      <c r="WII27" s="85"/>
      <c r="WIJ27" s="85"/>
      <c r="WIK27" s="85"/>
      <c r="WIL27" s="85"/>
      <c r="WIM27" s="85"/>
      <c r="WIN27" s="85"/>
      <c r="WIO27" s="85"/>
      <c r="WIP27" s="85"/>
      <c r="WIQ27" s="85"/>
      <c r="WIR27" s="85"/>
      <c r="WIS27" s="85"/>
      <c r="WIT27" s="85"/>
      <c r="WIU27" s="85"/>
      <c r="WIV27" s="85"/>
      <c r="WIW27" s="85"/>
      <c r="WIX27" s="85"/>
      <c r="WIY27" s="85"/>
      <c r="WIZ27" s="85"/>
      <c r="WJA27" s="85"/>
      <c r="WJB27" s="85"/>
      <c r="WJC27" s="85"/>
      <c r="WJD27" s="85"/>
      <c r="WJE27" s="85"/>
      <c r="WJF27" s="85"/>
      <c r="WJG27" s="85"/>
      <c r="WJH27" s="85"/>
      <c r="WJI27" s="85"/>
      <c r="WJJ27" s="85"/>
      <c r="WJK27" s="85"/>
      <c r="WJL27" s="85"/>
      <c r="WJM27" s="85"/>
      <c r="WJN27" s="85"/>
      <c r="WJO27" s="85"/>
      <c r="WJP27" s="85"/>
      <c r="WJQ27" s="85"/>
      <c r="WJR27" s="85"/>
      <c r="WJS27" s="85"/>
      <c r="WJT27" s="85"/>
      <c r="WJU27" s="85"/>
      <c r="WJV27" s="85"/>
      <c r="WJW27" s="85"/>
      <c r="WJX27" s="85"/>
      <c r="WJY27" s="85"/>
      <c r="WJZ27" s="85"/>
      <c r="WKA27" s="85"/>
      <c r="WKB27" s="85"/>
      <c r="WKC27" s="85"/>
      <c r="WKD27" s="85"/>
      <c r="WKE27" s="85"/>
      <c r="WKF27" s="85"/>
      <c r="WKG27" s="85"/>
      <c r="WKH27" s="85"/>
      <c r="WKI27" s="85"/>
      <c r="WKJ27" s="85"/>
      <c r="WKK27" s="85"/>
      <c r="WKL27" s="85"/>
      <c r="WKM27" s="85"/>
      <c r="WKN27" s="85"/>
      <c r="WKO27" s="85"/>
      <c r="WKP27" s="85"/>
      <c r="WKQ27" s="85"/>
      <c r="WKR27" s="85"/>
      <c r="WKS27" s="85"/>
      <c r="WKT27" s="85"/>
      <c r="WKU27" s="85"/>
      <c r="WKV27" s="85"/>
      <c r="WKW27" s="85"/>
      <c r="WKX27" s="85"/>
      <c r="WKY27" s="85"/>
      <c r="WKZ27" s="85"/>
      <c r="WLA27" s="85"/>
      <c r="WLB27" s="85"/>
      <c r="WLC27" s="85"/>
      <c r="WLD27" s="85"/>
      <c r="WLE27" s="85"/>
      <c r="WLF27" s="85"/>
      <c r="WLG27" s="85"/>
      <c r="WLH27" s="85"/>
      <c r="WLI27" s="85"/>
      <c r="WLJ27" s="85"/>
      <c r="WLK27" s="85"/>
      <c r="WLL27" s="85"/>
      <c r="WLM27" s="85"/>
      <c r="WLN27" s="85"/>
      <c r="WLO27" s="85"/>
      <c r="WLP27" s="85"/>
      <c r="WLQ27" s="85"/>
      <c r="WLR27" s="85"/>
      <c r="WLS27" s="85"/>
      <c r="WLT27" s="85"/>
      <c r="WLU27" s="85"/>
      <c r="WLV27" s="85"/>
      <c r="WLW27" s="85"/>
      <c r="WLX27" s="85"/>
      <c r="WLY27" s="85"/>
      <c r="WLZ27" s="85"/>
      <c r="WMA27" s="85"/>
      <c r="WMB27" s="85"/>
      <c r="WMC27" s="85"/>
      <c r="WMD27" s="85"/>
      <c r="WME27" s="85"/>
      <c r="WMF27" s="85"/>
      <c r="WMG27" s="85"/>
      <c r="WMH27" s="85"/>
      <c r="WMI27" s="85"/>
      <c r="WMJ27" s="85"/>
      <c r="WMK27" s="85"/>
      <c r="WML27" s="85"/>
      <c r="WMM27" s="85"/>
      <c r="WMN27" s="85"/>
      <c r="WMO27" s="85"/>
      <c r="WMP27" s="85"/>
      <c r="WMQ27" s="85"/>
      <c r="WMR27" s="85"/>
      <c r="WMS27" s="85"/>
      <c r="WMT27" s="85"/>
      <c r="WMU27" s="85"/>
      <c r="WMV27" s="85"/>
      <c r="WMW27" s="85"/>
      <c r="WMX27" s="85"/>
      <c r="WMY27" s="85"/>
      <c r="WMZ27" s="85"/>
      <c r="WNA27" s="85"/>
      <c r="WNB27" s="85"/>
      <c r="WNC27" s="85"/>
      <c r="WND27" s="85"/>
      <c r="WNE27" s="85"/>
      <c r="WNF27" s="85"/>
      <c r="WNG27" s="85"/>
      <c r="WNH27" s="85"/>
      <c r="WNI27" s="85"/>
      <c r="WNJ27" s="85"/>
      <c r="WNK27" s="85"/>
      <c r="WNL27" s="85"/>
      <c r="WNM27" s="85"/>
      <c r="WNN27" s="85"/>
      <c r="WNO27" s="85"/>
      <c r="WNP27" s="85"/>
      <c r="WNQ27" s="85"/>
      <c r="WNR27" s="85"/>
      <c r="WNS27" s="85"/>
      <c r="WNT27" s="85"/>
      <c r="WNU27" s="85"/>
      <c r="WNV27" s="85"/>
      <c r="WNW27" s="85"/>
      <c r="WNX27" s="85"/>
      <c r="WNY27" s="85"/>
      <c r="WNZ27" s="85"/>
      <c r="WOA27" s="85"/>
      <c r="WOB27" s="85"/>
      <c r="WOC27" s="85"/>
      <c r="WOD27" s="85"/>
      <c r="WOE27" s="85"/>
      <c r="WOF27" s="85"/>
      <c r="WOG27" s="85"/>
      <c r="WOH27" s="85"/>
      <c r="WOI27" s="85"/>
      <c r="WOJ27" s="85"/>
      <c r="WOK27" s="85"/>
      <c r="WOL27" s="85"/>
      <c r="WOM27" s="85"/>
      <c r="WON27" s="85"/>
      <c r="WOO27" s="85"/>
      <c r="WOP27" s="85"/>
      <c r="WOQ27" s="85"/>
      <c r="WOR27" s="85"/>
      <c r="WOS27" s="85"/>
      <c r="WOT27" s="85"/>
      <c r="WOU27" s="85"/>
      <c r="WOV27" s="85"/>
      <c r="WOW27" s="85"/>
      <c r="WOX27" s="85"/>
      <c r="WOY27" s="85"/>
      <c r="WOZ27" s="85"/>
      <c r="WPA27" s="85"/>
      <c r="WPB27" s="85"/>
      <c r="WPC27" s="85"/>
      <c r="WPD27" s="85"/>
      <c r="WPE27" s="85"/>
      <c r="WPF27" s="85"/>
      <c r="WPG27" s="85"/>
      <c r="WPH27" s="85"/>
      <c r="WPI27" s="85"/>
      <c r="WPJ27" s="85"/>
      <c r="WPK27" s="85"/>
      <c r="WPL27" s="85"/>
      <c r="WPM27" s="85"/>
      <c r="WPN27" s="85"/>
      <c r="WPO27" s="85"/>
      <c r="WPP27" s="85"/>
      <c r="WPQ27" s="85"/>
      <c r="WPR27" s="85"/>
      <c r="WPS27" s="85"/>
      <c r="WPT27" s="85"/>
      <c r="WPU27" s="85"/>
      <c r="WPV27" s="85"/>
      <c r="WPW27" s="85"/>
      <c r="WPX27" s="85"/>
      <c r="WPY27" s="85"/>
      <c r="WPZ27" s="85"/>
      <c r="WQA27" s="85"/>
      <c r="WQB27" s="85"/>
      <c r="WQC27" s="85"/>
      <c r="WQD27" s="85"/>
      <c r="WQE27" s="85"/>
      <c r="WQF27" s="85"/>
      <c r="WQG27" s="85"/>
      <c r="WQH27" s="85"/>
      <c r="WQI27" s="85"/>
      <c r="WQJ27" s="85"/>
      <c r="WQK27" s="85"/>
      <c r="WQL27" s="85"/>
      <c r="WQM27" s="85"/>
      <c r="WQN27" s="85"/>
      <c r="WQO27" s="85"/>
      <c r="WQP27" s="85"/>
      <c r="WQQ27" s="85"/>
      <c r="WQR27" s="85"/>
      <c r="WQS27" s="85"/>
      <c r="WQT27" s="85"/>
      <c r="WQU27" s="85"/>
      <c r="WQV27" s="85"/>
      <c r="WQW27" s="85"/>
      <c r="WQX27" s="85"/>
      <c r="WQY27" s="85"/>
      <c r="WQZ27" s="85"/>
      <c r="WRA27" s="85"/>
      <c r="WRB27" s="85"/>
      <c r="WRC27" s="85"/>
      <c r="WRD27" s="85"/>
      <c r="WRE27" s="85"/>
      <c r="WRF27" s="85"/>
      <c r="WRG27" s="85"/>
      <c r="WRH27" s="85"/>
      <c r="WRI27" s="85"/>
      <c r="WRJ27" s="85"/>
      <c r="WRK27" s="85"/>
      <c r="WRL27" s="85"/>
      <c r="WRM27" s="85"/>
      <c r="WRN27" s="85"/>
      <c r="WRO27" s="85"/>
      <c r="WRP27" s="85"/>
      <c r="WRQ27" s="85"/>
      <c r="WRR27" s="85"/>
      <c r="WRS27" s="85"/>
      <c r="WRT27" s="85"/>
      <c r="WRU27" s="85"/>
      <c r="WRV27" s="85"/>
      <c r="WRW27" s="85"/>
      <c r="WRX27" s="85"/>
      <c r="WRY27" s="85"/>
      <c r="WRZ27" s="85"/>
      <c r="WSA27" s="85"/>
      <c r="WSB27" s="85"/>
      <c r="WSC27" s="85"/>
      <c r="WSD27" s="85"/>
      <c r="WSE27" s="85"/>
      <c r="WSF27" s="85"/>
      <c r="WSG27" s="85"/>
      <c r="WSH27" s="85"/>
      <c r="WSI27" s="85"/>
      <c r="WSJ27" s="85"/>
      <c r="WSK27" s="85"/>
      <c r="WSL27" s="85"/>
      <c r="WSM27" s="85"/>
      <c r="WSN27" s="85"/>
      <c r="WSO27" s="85"/>
      <c r="WSP27" s="85"/>
      <c r="WSQ27" s="85"/>
      <c r="WSR27" s="85"/>
      <c r="WSS27" s="85"/>
      <c r="WST27" s="85"/>
      <c r="WSU27" s="85"/>
      <c r="WSV27" s="85"/>
      <c r="WSW27" s="85"/>
      <c r="WSX27" s="85"/>
      <c r="WSY27" s="85"/>
      <c r="WSZ27" s="85"/>
      <c r="WTA27" s="85"/>
      <c r="WTB27" s="85"/>
      <c r="WTC27" s="85"/>
      <c r="WTD27" s="85"/>
      <c r="WTE27" s="85"/>
      <c r="WTF27" s="85"/>
      <c r="WTG27" s="85"/>
      <c r="WTH27" s="85"/>
      <c r="WTI27" s="85"/>
      <c r="WTJ27" s="85"/>
      <c r="WTK27" s="85"/>
      <c r="WTL27" s="85"/>
      <c r="WTM27" s="85"/>
      <c r="WTN27" s="85"/>
      <c r="WTO27" s="85"/>
      <c r="WTP27" s="85"/>
      <c r="WTQ27" s="85"/>
      <c r="WTR27" s="85"/>
      <c r="WTS27" s="85"/>
      <c r="WTT27" s="85"/>
      <c r="WTU27" s="85"/>
      <c r="WTV27" s="85"/>
      <c r="WTW27" s="85"/>
      <c r="WTX27" s="85"/>
      <c r="WTY27" s="85"/>
      <c r="WTZ27" s="85"/>
      <c r="WUA27" s="85"/>
      <c r="WUB27" s="85"/>
      <c r="WUC27" s="85"/>
      <c r="WUD27" s="85"/>
      <c r="WUE27" s="85"/>
      <c r="WUF27" s="85"/>
      <c r="WUG27" s="85"/>
      <c r="WUH27" s="85"/>
      <c r="WUI27" s="85"/>
      <c r="WUJ27" s="85"/>
      <c r="WUK27" s="85"/>
      <c r="WUL27" s="85"/>
      <c r="WUM27" s="85"/>
      <c r="WUN27" s="85"/>
      <c r="WUO27" s="85"/>
      <c r="WUP27" s="85"/>
      <c r="WUQ27" s="85"/>
      <c r="WUR27" s="85"/>
      <c r="WUS27" s="85"/>
      <c r="WUT27" s="85"/>
      <c r="WUU27" s="85"/>
      <c r="WUV27" s="85"/>
      <c r="WUW27" s="85"/>
      <c r="WUX27" s="85"/>
      <c r="WUY27" s="85"/>
      <c r="WUZ27" s="85"/>
      <c r="WVA27" s="85"/>
      <c r="WVB27" s="85"/>
      <c r="WVC27" s="85"/>
      <c r="WVD27" s="85"/>
      <c r="WVE27" s="85"/>
      <c r="WVF27" s="85"/>
      <c r="WVG27" s="85"/>
      <c r="WVH27" s="85"/>
      <c r="WVI27" s="85"/>
      <c r="WVJ27" s="85"/>
      <c r="WVK27" s="85"/>
      <c r="WVL27" s="85"/>
      <c r="WVM27" s="85"/>
      <c r="WVN27" s="85"/>
      <c r="WVO27" s="85"/>
      <c r="WVP27" s="85"/>
      <c r="WVQ27" s="85"/>
      <c r="WVR27" s="85"/>
      <c r="WVS27" s="85"/>
      <c r="WVT27" s="85"/>
      <c r="WVU27" s="85"/>
      <c r="WVV27" s="85"/>
      <c r="WVW27" s="85"/>
      <c r="WVX27" s="85"/>
      <c r="WVY27" s="85"/>
      <c r="WVZ27" s="85"/>
      <c r="WWA27" s="85"/>
      <c r="WWB27" s="85"/>
      <c r="WWC27" s="85"/>
      <c r="WWD27" s="85"/>
      <c r="WWE27" s="85"/>
      <c r="WWF27" s="85"/>
      <c r="WWG27" s="85"/>
      <c r="WWH27" s="85"/>
      <c r="WWI27" s="85"/>
      <c r="WWJ27" s="85"/>
      <c r="WWK27" s="85"/>
      <c r="WWL27" s="85"/>
      <c r="WWM27" s="85"/>
      <c r="WWN27" s="85"/>
      <c r="WWO27" s="85"/>
      <c r="WWP27" s="85"/>
      <c r="WWQ27" s="85"/>
      <c r="WWR27" s="85"/>
      <c r="WWS27" s="85"/>
      <c r="WWT27" s="85"/>
      <c r="WWU27" s="85"/>
      <c r="WWV27" s="85"/>
      <c r="WWW27" s="85"/>
      <c r="WWX27" s="85"/>
      <c r="WWY27" s="85"/>
      <c r="WWZ27" s="85"/>
      <c r="WXA27" s="85"/>
      <c r="WXB27" s="85"/>
      <c r="WXC27" s="85"/>
      <c r="WXD27" s="85"/>
      <c r="WXE27" s="85"/>
      <c r="WXF27" s="85"/>
      <c r="WXG27" s="85"/>
      <c r="WXH27" s="85"/>
      <c r="WXI27" s="85"/>
      <c r="WXJ27" s="85"/>
      <c r="WXK27" s="85"/>
      <c r="WXL27" s="85"/>
      <c r="WXM27" s="85"/>
      <c r="WXN27" s="85"/>
      <c r="WXO27" s="85"/>
      <c r="WXP27" s="85"/>
      <c r="WXQ27" s="85"/>
      <c r="WXR27" s="85"/>
      <c r="WXS27" s="85"/>
      <c r="WXT27" s="85"/>
      <c r="WXU27" s="85"/>
      <c r="WXV27" s="85"/>
      <c r="WXW27" s="85"/>
      <c r="WXX27" s="85"/>
      <c r="WXY27" s="85"/>
      <c r="WXZ27" s="85"/>
      <c r="WYA27" s="85"/>
      <c r="WYB27" s="85"/>
      <c r="WYC27" s="85"/>
      <c r="WYD27" s="85"/>
      <c r="WYE27" s="85"/>
      <c r="WYF27" s="85"/>
      <c r="WYG27" s="85"/>
      <c r="WYH27" s="85"/>
      <c r="WYI27" s="85"/>
      <c r="WYJ27" s="85"/>
      <c r="WYK27" s="85"/>
      <c r="WYL27" s="85"/>
      <c r="WYM27" s="85"/>
      <c r="WYN27" s="85"/>
      <c r="WYO27" s="85"/>
      <c r="WYP27" s="85"/>
      <c r="WYQ27" s="85"/>
      <c r="WYR27" s="85"/>
      <c r="WYS27" s="85"/>
      <c r="WYT27" s="85"/>
      <c r="WYU27" s="85"/>
      <c r="WYV27" s="85"/>
      <c r="WYW27" s="85"/>
      <c r="WYX27" s="85"/>
      <c r="WYY27" s="85"/>
      <c r="WYZ27" s="85"/>
      <c r="WZA27" s="85"/>
      <c r="WZB27" s="85"/>
      <c r="WZC27" s="85"/>
      <c r="WZD27" s="85"/>
      <c r="WZE27" s="85"/>
      <c r="WZF27" s="85"/>
      <c r="WZG27" s="85"/>
      <c r="WZH27" s="85"/>
      <c r="WZI27" s="85"/>
      <c r="WZJ27" s="85"/>
      <c r="WZK27" s="85"/>
      <c r="WZL27" s="85"/>
      <c r="WZM27" s="85"/>
      <c r="WZN27" s="85"/>
      <c r="WZO27" s="85"/>
      <c r="WZP27" s="85"/>
      <c r="WZQ27" s="85"/>
      <c r="WZR27" s="85"/>
      <c r="WZS27" s="85"/>
      <c r="WZT27" s="85"/>
      <c r="WZU27" s="85"/>
      <c r="WZV27" s="85"/>
      <c r="WZW27" s="85"/>
      <c r="WZX27" s="85"/>
      <c r="WZY27" s="85"/>
      <c r="WZZ27" s="85"/>
      <c r="XAA27" s="85"/>
      <c r="XAB27" s="85"/>
      <c r="XAC27" s="85"/>
      <c r="XAD27" s="85"/>
      <c r="XAE27" s="85"/>
      <c r="XAF27" s="85"/>
      <c r="XAG27" s="85"/>
      <c r="XAH27" s="85"/>
      <c r="XAI27" s="85"/>
      <c r="XAJ27" s="85"/>
      <c r="XAK27" s="85"/>
      <c r="XAL27" s="85"/>
      <c r="XAM27" s="85"/>
      <c r="XAN27" s="85"/>
      <c r="XAO27" s="85"/>
      <c r="XAP27" s="85"/>
      <c r="XAQ27" s="85"/>
      <c r="XAR27" s="85"/>
      <c r="XAS27" s="85"/>
      <c r="XAT27" s="85"/>
      <c r="XAU27" s="85"/>
      <c r="XAV27" s="85"/>
      <c r="XAW27" s="85"/>
      <c r="XAX27" s="85"/>
      <c r="XAY27" s="85"/>
      <c r="XAZ27" s="85"/>
      <c r="XBA27" s="85"/>
      <c r="XBB27" s="85"/>
      <c r="XBC27" s="85"/>
      <c r="XBD27" s="85"/>
      <c r="XBE27" s="85"/>
      <c r="XBF27" s="85"/>
      <c r="XBG27" s="85"/>
      <c r="XBH27" s="85"/>
      <c r="XBI27" s="85"/>
      <c r="XBJ27" s="85"/>
      <c r="XBK27" s="85"/>
      <c r="XBL27" s="85"/>
      <c r="XBM27" s="85"/>
      <c r="XBN27" s="85"/>
      <c r="XBO27" s="85"/>
      <c r="XBP27" s="85"/>
      <c r="XBQ27" s="85"/>
      <c r="XBR27" s="85"/>
      <c r="XBS27" s="85"/>
      <c r="XBT27" s="85"/>
      <c r="XBU27" s="85"/>
      <c r="XBV27" s="85"/>
      <c r="XBW27" s="85"/>
      <c r="XBX27" s="85"/>
      <c r="XBY27" s="85"/>
      <c r="XBZ27" s="85"/>
      <c r="XCA27" s="85"/>
      <c r="XCB27" s="85"/>
      <c r="XCC27" s="85"/>
      <c r="XCD27" s="85"/>
      <c r="XCE27" s="85"/>
      <c r="XCF27" s="85"/>
      <c r="XCG27" s="85"/>
      <c r="XCH27" s="85"/>
      <c r="XCI27" s="85"/>
      <c r="XCJ27" s="85"/>
      <c r="XCK27" s="85"/>
      <c r="XCL27" s="85"/>
      <c r="XCM27" s="85"/>
      <c r="XCN27" s="85"/>
      <c r="XCO27" s="85"/>
      <c r="XCP27" s="85"/>
      <c r="XCQ27" s="85"/>
      <c r="XCR27" s="85"/>
      <c r="XCS27" s="85"/>
      <c r="XCT27" s="85"/>
      <c r="XCU27" s="85"/>
      <c r="XCV27" s="85"/>
      <c r="XCW27" s="85"/>
      <c r="XCX27" s="85"/>
      <c r="XCY27" s="85"/>
      <c r="XCZ27" s="85"/>
      <c r="XDA27" s="85"/>
      <c r="XDB27" s="85"/>
      <c r="XDC27" s="85"/>
      <c r="XDD27" s="85"/>
      <c r="XDE27" s="85"/>
      <c r="XDF27" s="85"/>
      <c r="XDG27" s="85"/>
      <c r="XDH27" s="85"/>
      <c r="XDI27" s="85"/>
      <c r="XDJ27" s="85"/>
      <c r="XDK27" s="85"/>
      <c r="XDL27" s="85"/>
      <c r="XDM27" s="85"/>
      <c r="XDN27" s="85"/>
      <c r="XDO27" s="85"/>
      <c r="XDP27" s="85"/>
      <c r="XDQ27" s="85"/>
      <c r="XDR27" s="85"/>
      <c r="XDS27" s="85"/>
      <c r="XDT27" s="85"/>
      <c r="XDU27" s="85"/>
      <c r="XDV27" s="85"/>
      <c r="XDW27" s="85"/>
      <c r="XDX27" s="85"/>
      <c r="XDY27" s="85"/>
      <c r="XDZ27" s="85"/>
      <c r="XEA27" s="85"/>
      <c r="XEB27" s="85"/>
      <c r="XEC27" s="85"/>
      <c r="XED27" s="85"/>
      <c r="XEE27" s="85"/>
      <c r="XEF27" s="85"/>
      <c r="XEG27" s="85"/>
      <c r="XEH27" s="85"/>
      <c r="XEI27" s="85"/>
      <c r="XEJ27" s="85"/>
      <c r="XEK27" s="85"/>
      <c r="XEL27" s="85"/>
      <c r="XEM27" s="85"/>
      <c r="XEN27" s="85"/>
      <c r="XEO27" s="85"/>
      <c r="XEP27" s="85"/>
      <c r="XEQ27" s="85"/>
      <c r="XER27" s="85"/>
      <c r="XES27" s="85"/>
      <c r="XET27" s="85"/>
      <c r="XEU27" s="85"/>
      <c r="XEV27" s="85"/>
      <c r="XEW27" s="85"/>
      <c r="XEX27" s="85"/>
      <c r="XEY27" s="85"/>
      <c r="XEZ27" s="85"/>
      <c r="XFA27" s="85"/>
      <c r="XFB27" s="85"/>
      <c r="XFC27" s="85"/>
      <c r="XFD27" s="85"/>
    </row>
    <row r="28" spans="1:16384" ht="30" x14ac:dyDescent="0.25">
      <c r="A28" s="37" t="s">
        <v>165</v>
      </c>
      <c r="B28" s="265" t="s">
        <v>3842</v>
      </c>
      <c r="C28" s="275"/>
    </row>
    <row r="29" spans="1:16384" ht="13.15" customHeight="1" x14ac:dyDescent="0.25">
      <c r="A29" s="19" t="s">
        <v>680</v>
      </c>
      <c r="B29" s="265" t="s">
        <v>776</v>
      </c>
      <c r="C29" s="275"/>
    </row>
    <row r="30" spans="1:16384" ht="13.15" customHeight="1" x14ac:dyDescent="0.25">
      <c r="A30" s="19" t="s">
        <v>3252</v>
      </c>
      <c r="B30" s="263" t="s">
        <v>3251</v>
      </c>
      <c r="C30" s="275"/>
    </row>
    <row r="31" spans="1:16384" ht="30" customHeight="1" x14ac:dyDescent="0.25">
      <c r="A31" s="129" t="s">
        <v>3802</v>
      </c>
      <c r="B31" s="267" t="s">
        <v>4369</v>
      </c>
      <c r="C31" s="275"/>
    </row>
    <row r="32" spans="1:16384" ht="30" customHeight="1" x14ac:dyDescent="0.25">
      <c r="A32" s="129" t="s">
        <v>3762</v>
      </c>
      <c r="B32" s="268" t="s">
        <v>3761</v>
      </c>
      <c r="C32" s="275"/>
    </row>
    <row r="33" spans="1:3" ht="30" x14ac:dyDescent="0.25">
      <c r="A33" s="128" t="s">
        <v>378</v>
      </c>
      <c r="B33" s="265" t="s">
        <v>3843</v>
      </c>
      <c r="C33" s="275"/>
    </row>
    <row r="34" spans="1:3" x14ac:dyDescent="0.25">
      <c r="A34" s="128" t="s">
        <v>3362</v>
      </c>
      <c r="B34" s="265" t="s">
        <v>3363</v>
      </c>
      <c r="C34" s="275"/>
    </row>
    <row r="35" spans="1:3" x14ac:dyDescent="0.25">
      <c r="A35" s="19" t="s">
        <v>377</v>
      </c>
      <c r="B35" s="266" t="s">
        <v>811</v>
      </c>
      <c r="C35" s="275"/>
    </row>
    <row r="36" spans="1:3" ht="30" x14ac:dyDescent="0.25">
      <c r="A36" s="37" t="s">
        <v>379</v>
      </c>
      <c r="B36" s="265" t="s">
        <v>3844</v>
      </c>
      <c r="C36" s="275"/>
    </row>
    <row r="37" spans="1:3" ht="31.5" x14ac:dyDescent="0.25">
      <c r="A37" s="37" t="s">
        <v>3753</v>
      </c>
      <c r="B37" s="268" t="s">
        <v>3841</v>
      </c>
      <c r="C37" s="275"/>
    </row>
    <row r="38" spans="1:3" ht="30" x14ac:dyDescent="0.25">
      <c r="A38" s="37" t="s">
        <v>380</v>
      </c>
      <c r="B38" s="265" t="s">
        <v>3840</v>
      </c>
      <c r="C38" s="275"/>
    </row>
    <row r="39" spans="1:3" ht="30" x14ac:dyDescent="0.25">
      <c r="A39" s="37" t="s">
        <v>381</v>
      </c>
      <c r="B39" s="265" t="s">
        <v>3839</v>
      </c>
      <c r="C39" s="274"/>
    </row>
    <row r="40" spans="1:3" ht="30" x14ac:dyDescent="0.25">
      <c r="A40" s="37" t="s">
        <v>391</v>
      </c>
      <c r="B40" s="265" t="s">
        <v>3905</v>
      </c>
      <c r="C40" s="274"/>
    </row>
    <row r="41" spans="1:3" ht="30" x14ac:dyDescent="0.25">
      <c r="A41" s="37" t="s">
        <v>3996</v>
      </c>
      <c r="B41" s="265" t="s">
        <v>3999</v>
      </c>
      <c r="C41" s="274"/>
    </row>
    <row r="42" spans="1:3" ht="30" x14ac:dyDescent="0.25">
      <c r="A42" s="128" t="s">
        <v>711</v>
      </c>
      <c r="B42" s="265" t="s">
        <v>3838</v>
      </c>
      <c r="C42" s="274"/>
    </row>
    <row r="43" spans="1:3" x14ac:dyDescent="0.25">
      <c r="A43" s="19" t="s">
        <v>712</v>
      </c>
      <c r="B43" s="265" t="s">
        <v>777</v>
      </c>
      <c r="C43" s="274"/>
    </row>
    <row r="44" spans="1:3" ht="15.75" x14ac:dyDescent="0.25">
      <c r="A44" s="131" t="s">
        <v>3266</v>
      </c>
      <c r="B44" s="269" t="s">
        <v>3267</v>
      </c>
      <c r="C44" s="274"/>
    </row>
    <row r="45" spans="1:3" ht="31.5" x14ac:dyDescent="0.25">
      <c r="A45" s="279" t="s">
        <v>3826</v>
      </c>
      <c r="B45" s="267" t="s">
        <v>3834</v>
      </c>
      <c r="C45" s="274"/>
    </row>
    <row r="46" spans="1:3" ht="15.75" x14ac:dyDescent="0.25">
      <c r="A46" s="19" t="s">
        <v>2244</v>
      </c>
      <c r="B46" s="263" t="s">
        <v>3260</v>
      </c>
      <c r="C46" s="274"/>
    </row>
    <row r="47" spans="1:3" x14ac:dyDescent="0.25">
      <c r="A47" s="19" t="s">
        <v>2869</v>
      </c>
      <c r="B47" s="265" t="s">
        <v>2870</v>
      </c>
      <c r="C47" s="274"/>
    </row>
    <row r="48" spans="1:3" x14ac:dyDescent="0.25">
      <c r="A48" s="19" t="s">
        <v>4127</v>
      </c>
      <c r="B48" s="318" t="s">
        <v>4128</v>
      </c>
      <c r="C48" s="274"/>
    </row>
    <row r="49" spans="1:10" ht="14.45" customHeight="1" x14ac:dyDescent="0.25">
      <c r="A49" s="37" t="s">
        <v>564</v>
      </c>
      <c r="B49" s="265" t="s">
        <v>800</v>
      </c>
      <c r="C49" s="274"/>
    </row>
    <row r="50" spans="1:10" ht="30" x14ac:dyDescent="0.25">
      <c r="A50" s="37" t="s">
        <v>382</v>
      </c>
      <c r="B50" s="265" t="s">
        <v>875</v>
      </c>
      <c r="C50" s="274"/>
    </row>
    <row r="51" spans="1:10" ht="30" x14ac:dyDescent="0.25">
      <c r="A51" s="37" t="s">
        <v>869</v>
      </c>
      <c r="B51" s="265" t="s">
        <v>2301</v>
      </c>
      <c r="C51" s="274"/>
    </row>
    <row r="52" spans="1:10" x14ac:dyDescent="0.25">
      <c r="A52" s="37" t="s">
        <v>2297</v>
      </c>
      <c r="B52" s="265" t="s">
        <v>2302</v>
      </c>
      <c r="C52" s="274"/>
    </row>
    <row r="53" spans="1:10" x14ac:dyDescent="0.25">
      <c r="A53" s="38" t="s">
        <v>383</v>
      </c>
      <c r="B53" s="265" t="s">
        <v>818</v>
      </c>
      <c r="C53" s="275"/>
    </row>
    <row r="54" spans="1:10" x14ac:dyDescent="0.25">
      <c r="A54" s="19" t="s">
        <v>545</v>
      </c>
      <c r="B54" s="266" t="s">
        <v>799</v>
      </c>
      <c r="C54" s="274"/>
    </row>
    <row r="55" spans="1:10" x14ac:dyDescent="0.25">
      <c r="A55" s="19" t="s">
        <v>2793</v>
      </c>
      <c r="B55" s="266" t="s">
        <v>2794</v>
      </c>
      <c r="C55" s="274"/>
    </row>
    <row r="56" spans="1:10" x14ac:dyDescent="0.25">
      <c r="A56" s="19" t="s">
        <v>681</v>
      </c>
      <c r="B56" s="266" t="s">
        <v>809</v>
      </c>
      <c r="C56" s="274"/>
    </row>
    <row r="57" spans="1:10" ht="14.45" customHeight="1" x14ac:dyDescent="0.25">
      <c r="A57" s="37" t="s">
        <v>867</v>
      </c>
      <c r="B57" s="265" t="s">
        <v>868</v>
      </c>
      <c r="C57" s="274"/>
    </row>
    <row r="58" spans="1:10" ht="30" x14ac:dyDescent="0.25">
      <c r="A58" s="37" t="s">
        <v>384</v>
      </c>
      <c r="B58" s="265" t="s">
        <v>812</v>
      </c>
      <c r="C58" s="274"/>
    </row>
    <row r="59" spans="1:10" s="6" customFormat="1" ht="30" x14ac:dyDescent="0.25">
      <c r="A59" s="128" t="s">
        <v>407</v>
      </c>
      <c r="B59" s="270" t="s">
        <v>3191</v>
      </c>
      <c r="C59" s="277"/>
    </row>
    <row r="60" spans="1:10" s="63" customFormat="1" ht="15.75" customHeight="1" x14ac:dyDescent="0.25">
      <c r="A60" s="822" t="s">
        <v>1975</v>
      </c>
      <c r="B60" s="271" t="s">
        <v>2207</v>
      </c>
      <c r="C60" s="278"/>
      <c r="D60" s="77"/>
      <c r="E60" s="77"/>
      <c r="F60" s="77"/>
      <c r="G60" s="77"/>
      <c r="H60" s="77"/>
      <c r="I60" s="77"/>
      <c r="J60" s="77"/>
    </row>
    <row r="61" spans="1:10" x14ac:dyDescent="0.25">
      <c r="A61" s="19" t="s">
        <v>774</v>
      </c>
      <c r="B61" s="266" t="s">
        <v>3190</v>
      </c>
      <c r="C61" s="274"/>
    </row>
    <row r="62" spans="1:10" ht="31.5" x14ac:dyDescent="0.25">
      <c r="A62" s="128" t="s">
        <v>3192</v>
      </c>
      <c r="B62" s="268" t="s">
        <v>3189</v>
      </c>
      <c r="C62" s="274"/>
    </row>
    <row r="63" spans="1:10" ht="31.5" x14ac:dyDescent="0.25">
      <c r="A63" s="128" t="s">
        <v>3141</v>
      </c>
      <c r="B63" s="267" t="s">
        <v>3142</v>
      </c>
      <c r="C63" s="274"/>
    </row>
    <row r="64" spans="1:10" ht="30" x14ac:dyDescent="0.25">
      <c r="A64" s="128" t="s">
        <v>916</v>
      </c>
      <c r="B64" s="265" t="s">
        <v>917</v>
      </c>
      <c r="C64" s="274"/>
    </row>
    <row r="65" spans="1:3" ht="30" x14ac:dyDescent="0.25">
      <c r="A65" s="128" t="s">
        <v>2397</v>
      </c>
      <c r="B65" s="272" t="s">
        <v>2396</v>
      </c>
      <c r="C65" s="274"/>
    </row>
    <row r="66" spans="1:3" x14ac:dyDescent="0.25">
      <c r="A66" s="19" t="s">
        <v>973</v>
      </c>
      <c r="B66" s="265" t="s">
        <v>976</v>
      </c>
      <c r="C66" s="274"/>
    </row>
    <row r="67" spans="1:3" ht="30" x14ac:dyDescent="0.25">
      <c r="A67" s="128" t="s">
        <v>1023</v>
      </c>
      <c r="B67" s="265" t="s">
        <v>3846</v>
      </c>
      <c r="C67" s="274"/>
    </row>
    <row r="68" spans="1:3" x14ac:dyDescent="0.25">
      <c r="A68" s="128" t="s">
        <v>4221</v>
      </c>
      <c r="B68" s="265" t="s">
        <v>4222</v>
      </c>
      <c r="C68" s="274"/>
    </row>
    <row r="69" spans="1:3" ht="30" x14ac:dyDescent="0.25">
      <c r="A69" s="128" t="s">
        <v>2800</v>
      </c>
      <c r="B69" s="265" t="s">
        <v>2801</v>
      </c>
      <c r="C69" s="274"/>
    </row>
    <row r="70" spans="1:3" ht="30" x14ac:dyDescent="0.25">
      <c r="A70" s="38" t="s">
        <v>385</v>
      </c>
      <c r="B70" s="265" t="s">
        <v>974</v>
      </c>
      <c r="C70" s="274"/>
    </row>
    <row r="71" spans="1:3" ht="30" x14ac:dyDescent="0.25">
      <c r="A71" s="37" t="s">
        <v>386</v>
      </c>
      <c r="B71" s="265" t="s">
        <v>817</v>
      </c>
      <c r="C71" s="275"/>
    </row>
    <row r="72" spans="1:3" ht="30" x14ac:dyDescent="0.25">
      <c r="A72" s="37" t="s">
        <v>663</v>
      </c>
      <c r="B72" s="265" t="s">
        <v>3837</v>
      </c>
      <c r="C72" s="275"/>
    </row>
    <row r="73" spans="1:3" ht="30" x14ac:dyDescent="0.25">
      <c r="A73" s="37" t="s">
        <v>674</v>
      </c>
      <c r="B73" s="270" t="s">
        <v>3835</v>
      </c>
      <c r="C73" s="274"/>
    </row>
    <row r="74" spans="1:3" ht="30" x14ac:dyDescent="0.25">
      <c r="A74" s="37" t="s">
        <v>698</v>
      </c>
      <c r="B74" s="265" t="s">
        <v>3836</v>
      </c>
      <c r="C74" s="274"/>
    </row>
    <row r="75" spans="1:3" ht="31.5" x14ac:dyDescent="0.25">
      <c r="A75" s="256" t="s">
        <v>3959</v>
      </c>
      <c r="B75" s="267" t="s">
        <v>4360</v>
      </c>
      <c r="C75" s="274"/>
    </row>
    <row r="76" spans="1:3" ht="15.75" thickBot="1" x14ac:dyDescent="0.3">
      <c r="A76" s="39" t="s">
        <v>2411</v>
      </c>
      <c r="B76" s="273" t="s">
        <v>4359</v>
      </c>
      <c r="C76" s="274"/>
    </row>
    <row r="78" spans="1:3" x14ac:dyDescent="0.25">
      <c r="A78" s="33" t="s">
        <v>2303</v>
      </c>
    </row>
    <row r="79" spans="1:3" x14ac:dyDescent="0.25">
      <c r="A79" s="33" t="s">
        <v>775</v>
      </c>
    </row>
  </sheetData>
  <sortState ref="A2:B34">
    <sortCondition ref="A2:A34"/>
  </sortState>
  <conditionalFormatting sqref="A20:A21 A73">
    <cfRule type="cellIs" dxfId="22" priority="34" operator="equal">
      <formula>".."</formula>
    </cfRule>
  </conditionalFormatting>
  <conditionalFormatting sqref="A53">
    <cfRule type="cellIs" dxfId="21" priority="29" operator="equal">
      <formula>".."</formula>
    </cfRule>
  </conditionalFormatting>
  <conditionalFormatting sqref="A74:A75">
    <cfRule type="cellIs" dxfId="20" priority="18" operator="equal">
      <formula>".."</formula>
    </cfRule>
  </conditionalFormatting>
  <conditionalFormatting sqref="A71">
    <cfRule type="cellIs" dxfId="19" priority="16" operator="equal">
      <formula>".."</formula>
    </cfRule>
  </conditionalFormatting>
  <conditionalFormatting sqref="A25:A26">
    <cfRule type="cellIs" dxfId="18" priority="15" operator="equal">
      <formula>".."</formula>
    </cfRule>
  </conditionalFormatting>
  <conditionalFormatting sqref="A22:A24">
    <cfRule type="cellIs" dxfId="17" priority="14" operator="equal">
      <formula>".."</formula>
    </cfRule>
  </conditionalFormatting>
  <conditionalFormatting sqref="A40:A41">
    <cfRule type="cellIs" dxfId="16" priority="13" operator="equal">
      <formula>".."</formula>
    </cfRule>
  </conditionalFormatting>
  <conditionalFormatting sqref="A38">
    <cfRule type="cellIs" dxfId="15" priority="12" operator="equal">
      <formula>".."</formula>
    </cfRule>
  </conditionalFormatting>
  <conditionalFormatting sqref="A39">
    <cfRule type="cellIs" dxfId="14" priority="11" operator="equal">
      <formula>".."</formula>
    </cfRule>
  </conditionalFormatting>
  <conditionalFormatting sqref="A50:A52">
    <cfRule type="cellIs" dxfId="13" priority="9" operator="equal">
      <formula>".."</formula>
    </cfRule>
  </conditionalFormatting>
  <conditionalFormatting sqref="A58">
    <cfRule type="cellIs" dxfId="12" priority="8" operator="equal">
      <formula>".."</formula>
    </cfRule>
  </conditionalFormatting>
  <conditionalFormatting sqref="A72">
    <cfRule type="cellIs" dxfId="11" priority="7" operator="equal">
      <formula>".."</formula>
    </cfRule>
  </conditionalFormatting>
  <conditionalFormatting sqref="A76">
    <cfRule type="cellIs" dxfId="10" priority="6" operator="equal">
      <formula>".."</formula>
    </cfRule>
  </conditionalFormatting>
  <conditionalFormatting sqref="A18:A19">
    <cfRule type="cellIs" dxfId="9" priority="5" operator="equal">
      <formula>".."</formula>
    </cfRule>
  </conditionalFormatting>
  <conditionalFormatting sqref="A28">
    <cfRule type="cellIs" dxfId="8" priority="4" operator="equal">
      <formula>".."</formula>
    </cfRule>
  </conditionalFormatting>
  <conditionalFormatting sqref="A49">
    <cfRule type="cellIs" dxfId="7" priority="2" operator="equal">
      <formula>".."</formula>
    </cfRule>
  </conditionalFormatting>
  <conditionalFormatting sqref="A57">
    <cfRule type="cellIs" dxfId="6" priority="1" operator="equal">
      <formula>".."</formula>
    </cfRule>
  </conditionalFormatting>
  <pageMargins left="0.19685039370078741" right="0.19685039370078741" top="0.55118110236220474" bottom="0.55118110236220474" header="0" footer="0"/>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
  <sheetViews>
    <sheetView zoomScale="80" zoomScaleNormal="80" workbookViewId="0">
      <selection activeCell="H29" sqref="H29"/>
    </sheetView>
  </sheetViews>
  <sheetFormatPr baseColWidth="10" defaultRowHeight="15" x14ac:dyDescent="0.25"/>
  <cols>
    <col min="1" max="1" width="43.140625" customWidth="1"/>
    <col min="2" max="2" width="6.42578125" style="5" customWidth="1"/>
    <col min="3" max="3" width="7.140625" style="5" customWidth="1"/>
    <col min="4" max="4" width="12.28515625" customWidth="1"/>
    <col min="5" max="5" width="14.42578125" customWidth="1"/>
    <col min="6" max="6" width="8.28515625" customWidth="1"/>
    <col min="7" max="7" width="14" customWidth="1"/>
    <col min="8" max="8" width="11.85546875" customWidth="1"/>
    <col min="9" max="9" width="11.7109375" customWidth="1"/>
    <col min="10" max="10" width="11.140625" customWidth="1"/>
    <col min="11" max="11" width="11.7109375" customWidth="1"/>
    <col min="12" max="12" width="10" customWidth="1"/>
  </cols>
  <sheetData>
    <row r="1" spans="1:12" ht="21" x14ac:dyDescent="0.35">
      <c r="E1" s="861" t="s">
        <v>4695</v>
      </c>
    </row>
    <row r="3" spans="1:12" ht="15.75" thickBot="1" x14ac:dyDescent="0.3">
      <c r="A3" s="3" t="s">
        <v>4655</v>
      </c>
    </row>
    <row r="4" spans="1:12" ht="38.25" customHeight="1" thickBot="1" x14ac:dyDescent="0.3">
      <c r="A4" s="1"/>
      <c r="B4" s="1075" t="s">
        <v>4531</v>
      </c>
      <c r="C4" s="1075" t="s">
        <v>4532</v>
      </c>
      <c r="D4" s="1075" t="s">
        <v>4259</v>
      </c>
      <c r="E4" s="1075" t="s">
        <v>4657</v>
      </c>
      <c r="F4" s="1079" t="s">
        <v>4656</v>
      </c>
      <c r="G4" s="1081" t="s">
        <v>4268</v>
      </c>
      <c r="H4" s="1077" t="s">
        <v>4662</v>
      </c>
      <c r="I4" s="1077" t="s">
        <v>4658</v>
      </c>
      <c r="J4" s="1077" t="s">
        <v>4659</v>
      </c>
      <c r="K4" s="1077" t="s">
        <v>4660</v>
      </c>
      <c r="L4" s="20"/>
    </row>
    <row r="5" spans="1:12" ht="99" customHeight="1" thickBot="1" x14ac:dyDescent="0.3">
      <c r="A5" s="44" t="s">
        <v>4406</v>
      </c>
      <c r="B5" s="1076"/>
      <c r="C5" s="1076"/>
      <c r="D5" s="1076"/>
      <c r="E5" s="1076"/>
      <c r="F5" s="1080"/>
      <c r="G5" s="1082"/>
      <c r="H5" s="1078"/>
      <c r="I5" s="1078"/>
      <c r="J5" s="1078"/>
      <c r="K5" s="1078"/>
      <c r="L5" s="20"/>
    </row>
    <row r="6" spans="1:12" x14ac:dyDescent="0.25">
      <c r="A6" s="838" t="s">
        <v>4239</v>
      </c>
      <c r="B6" s="842">
        <v>37.07611231578948</v>
      </c>
      <c r="C6" s="843">
        <v>39.346936842105265</v>
      </c>
      <c r="D6" s="12">
        <v>159</v>
      </c>
      <c r="E6" s="16" t="s">
        <v>959</v>
      </c>
      <c r="F6" s="27">
        <v>7752.2631578947367</v>
      </c>
      <c r="G6" s="437">
        <f>(8718-F6)/32</f>
        <v>30.17927631578948</v>
      </c>
      <c r="H6" s="27">
        <v>3</v>
      </c>
      <c r="I6" s="27">
        <v>-2</v>
      </c>
      <c r="J6" s="17" t="s">
        <v>69</v>
      </c>
      <c r="K6" s="16" t="s">
        <v>69</v>
      </c>
      <c r="L6" s="12"/>
    </row>
    <row r="7" spans="1:12" x14ac:dyDescent="0.25">
      <c r="A7" s="430" t="s">
        <v>4246</v>
      </c>
      <c r="B7" s="435">
        <v>37.856328695652174</v>
      </c>
      <c r="C7" s="436">
        <v>33.258768347826084</v>
      </c>
      <c r="D7" s="32">
        <f t="shared" ref="D7:D15" si="0">2*6371*ASIN(SQRT((SIN(RADIANS(B7-35.87)/2))^2+((SIN(RADIANS(C7-38.4)/2))^2)*COS(RADIANS(B7))*COS(RADIANS(35.87))))</f>
        <v>507.81508094110177</v>
      </c>
      <c r="E7" s="22" t="s">
        <v>959</v>
      </c>
      <c r="F7" s="21">
        <v>7061.4528985507259</v>
      </c>
      <c r="G7" s="22">
        <f t="shared" ref="G7:G21" si="1">(8718-F7)/32</f>
        <v>51.767096920289816</v>
      </c>
      <c r="H7" s="21">
        <v>4</v>
      </c>
      <c r="I7" s="21">
        <v>9</v>
      </c>
      <c r="J7" s="439" t="s">
        <v>69</v>
      </c>
      <c r="K7" s="22" t="s">
        <v>69</v>
      </c>
      <c r="L7" s="12"/>
    </row>
    <row r="8" spans="1:12" x14ac:dyDescent="0.25">
      <c r="A8" s="430" t="s">
        <v>4247</v>
      </c>
      <c r="B8" s="435">
        <v>40.287360714285704</v>
      </c>
      <c r="C8" s="436">
        <v>29.484389423035712</v>
      </c>
      <c r="D8" s="32">
        <f t="shared" si="0"/>
        <v>921.36878777475044</v>
      </c>
      <c r="E8" s="22" t="s">
        <v>959</v>
      </c>
      <c r="F8" s="21">
        <v>6239.5578125000002</v>
      </c>
      <c r="G8" s="22">
        <f t="shared" si="1"/>
        <v>77.451318359374994</v>
      </c>
      <c r="H8" s="21">
        <v>10</v>
      </c>
      <c r="I8" s="21">
        <v>16</v>
      </c>
      <c r="J8" s="439" t="s">
        <v>69</v>
      </c>
      <c r="K8" s="22" t="s">
        <v>69</v>
      </c>
      <c r="L8" s="12"/>
    </row>
    <row r="9" spans="1:12" x14ac:dyDescent="0.25">
      <c r="A9" s="430" t="s">
        <v>4248</v>
      </c>
      <c r="B9" s="435">
        <v>42.849299187500002</v>
      </c>
      <c r="C9" s="436">
        <v>25.544771750000002</v>
      </c>
      <c r="D9" s="32">
        <f t="shared" si="0"/>
        <v>1348.0124060006663</v>
      </c>
      <c r="E9" s="22" t="s">
        <v>959</v>
      </c>
      <c r="F9" s="21">
        <v>5787.21875</v>
      </c>
      <c r="G9" s="22">
        <f t="shared" si="1"/>
        <v>91.5869140625</v>
      </c>
      <c r="H9" s="21">
        <v>16</v>
      </c>
      <c r="I9" s="21">
        <v>22</v>
      </c>
      <c r="J9" s="439" t="s">
        <v>69</v>
      </c>
      <c r="K9" s="22" t="s">
        <v>69</v>
      </c>
      <c r="L9" s="12"/>
    </row>
    <row r="10" spans="1:12" s="2" customFormat="1" x14ac:dyDescent="0.25">
      <c r="A10" s="430" t="s">
        <v>4412</v>
      </c>
      <c r="B10" s="435">
        <v>44.936046974074053</v>
      </c>
      <c r="C10" s="436">
        <v>23.041176766666663</v>
      </c>
      <c r="D10" s="32">
        <f t="shared" si="0"/>
        <v>1640.7665878388398</v>
      </c>
      <c r="E10" s="22" t="s">
        <v>959</v>
      </c>
      <c r="F10" s="21">
        <v>5500.708333333333</v>
      </c>
      <c r="G10" s="22">
        <f t="shared" si="1"/>
        <v>100.54036458333334</v>
      </c>
      <c r="H10" s="21">
        <v>20</v>
      </c>
      <c r="I10" s="21">
        <v>26</v>
      </c>
      <c r="J10" s="439" t="s">
        <v>69</v>
      </c>
      <c r="K10" s="22" t="s">
        <v>69</v>
      </c>
      <c r="L10" s="12"/>
    </row>
    <row r="11" spans="1:12" x14ac:dyDescent="0.25">
      <c r="A11" s="430" t="s">
        <v>4264</v>
      </c>
      <c r="B11" s="435">
        <v>46.882898362446163</v>
      </c>
      <c r="C11" s="436">
        <v>19.349794441946585</v>
      </c>
      <c r="D11" s="32">
        <f t="shared" si="0"/>
        <v>1997.5042033903944</v>
      </c>
      <c r="E11" s="22" t="s">
        <v>959</v>
      </c>
      <c r="F11" s="21">
        <v>5292.6744186046508</v>
      </c>
      <c r="G11" s="22">
        <f t="shared" si="1"/>
        <v>107.04142441860466</v>
      </c>
      <c r="H11" s="21">
        <v>25</v>
      </c>
      <c r="I11" s="21">
        <v>32</v>
      </c>
      <c r="J11" s="439" t="s">
        <v>69</v>
      </c>
      <c r="K11" s="22" t="s">
        <v>69</v>
      </c>
      <c r="L11" s="12"/>
    </row>
    <row r="12" spans="1:12" x14ac:dyDescent="0.25">
      <c r="A12" s="430" t="s">
        <v>4263</v>
      </c>
      <c r="B12" s="435">
        <v>48.757060064864859</v>
      </c>
      <c r="C12" s="436">
        <v>16.360579012895062</v>
      </c>
      <c r="D12" s="32">
        <f t="shared" si="0"/>
        <v>2295.7877448207587</v>
      </c>
      <c r="E12" s="22" t="s">
        <v>959</v>
      </c>
      <c r="F12" s="21">
        <v>5238.6621621621625</v>
      </c>
      <c r="G12" s="22">
        <f t="shared" si="1"/>
        <v>108.72930743243242</v>
      </c>
      <c r="H12" s="21">
        <v>29</v>
      </c>
      <c r="I12" s="21">
        <v>36</v>
      </c>
      <c r="J12" s="439" t="s">
        <v>69</v>
      </c>
      <c r="K12" s="22" t="s">
        <v>69</v>
      </c>
      <c r="L12" s="12"/>
    </row>
    <row r="13" spans="1:12" x14ac:dyDescent="0.25">
      <c r="A13" s="430" t="s">
        <v>4266</v>
      </c>
      <c r="B13" s="435">
        <v>50.69739806139664</v>
      </c>
      <c r="C13" s="436">
        <v>10.308239629106138</v>
      </c>
      <c r="D13" s="32">
        <f t="shared" si="0"/>
        <v>2780.9995467572435</v>
      </c>
      <c r="E13" s="22" t="s">
        <v>959</v>
      </c>
      <c r="F13" s="21">
        <v>5115.0293296089385</v>
      </c>
      <c r="G13" s="22">
        <f t="shared" si="1"/>
        <v>112.59283344972067</v>
      </c>
      <c r="H13" s="21">
        <v>33</v>
      </c>
      <c r="I13" s="21">
        <v>45</v>
      </c>
      <c r="J13" s="439" t="s">
        <v>69</v>
      </c>
      <c r="K13" s="22" t="s">
        <v>69</v>
      </c>
      <c r="L13" s="12"/>
    </row>
    <row r="14" spans="1:12" x14ac:dyDescent="0.25">
      <c r="A14" s="430" t="s">
        <v>4261</v>
      </c>
      <c r="B14" s="435">
        <v>56.809353457142898</v>
      </c>
      <c r="C14" s="436">
        <v>13.3320059857143</v>
      </c>
      <c r="D14" s="32">
        <f t="shared" si="0"/>
        <v>2985.8378321988553</v>
      </c>
      <c r="E14" s="22" t="s">
        <v>959</v>
      </c>
      <c r="F14" s="21">
        <v>3286.1928571428598</v>
      </c>
      <c r="G14" s="22">
        <f t="shared" si="1"/>
        <v>169.74397321428563</v>
      </c>
      <c r="H14" s="21">
        <v>47</v>
      </c>
      <c r="I14" s="21">
        <v>38</v>
      </c>
      <c r="J14" s="439" t="s">
        <v>69</v>
      </c>
      <c r="K14" s="22" t="s">
        <v>69</v>
      </c>
      <c r="L14" s="12"/>
    </row>
    <row r="15" spans="1:12" x14ac:dyDescent="0.25">
      <c r="A15" s="430" t="s">
        <v>4267</v>
      </c>
      <c r="B15" s="435">
        <v>48.266157409022505</v>
      </c>
      <c r="C15" s="436">
        <v>4.9024538864661631</v>
      </c>
      <c r="D15" s="32">
        <f t="shared" si="0"/>
        <v>3056.7242997182534</v>
      </c>
      <c r="E15" s="22" t="s">
        <v>959</v>
      </c>
      <c r="F15" s="21">
        <v>4625</v>
      </c>
      <c r="G15" s="22">
        <f t="shared" si="1"/>
        <v>127.90625</v>
      </c>
      <c r="H15" s="21">
        <v>28</v>
      </c>
      <c r="I15" s="21">
        <v>55</v>
      </c>
      <c r="J15" s="439" t="s">
        <v>69</v>
      </c>
      <c r="K15" s="22" t="s">
        <v>69</v>
      </c>
      <c r="L15" s="12"/>
    </row>
    <row r="16" spans="1:12" x14ac:dyDescent="0.25">
      <c r="A16" s="428" t="s">
        <v>4280</v>
      </c>
      <c r="B16" s="431">
        <v>40.299879629444433</v>
      </c>
      <c r="C16" s="432">
        <v>22.013805555555557</v>
      </c>
      <c r="D16" s="24">
        <v>1902</v>
      </c>
      <c r="E16" s="25" t="s">
        <v>960</v>
      </c>
      <c r="F16" s="23">
        <v>6161.4861111111113</v>
      </c>
      <c r="G16" s="25">
        <f t="shared" si="1"/>
        <v>79.891059027777771</v>
      </c>
      <c r="H16" s="49" t="s">
        <v>69</v>
      </c>
      <c r="I16" s="24" t="s">
        <v>69</v>
      </c>
      <c r="J16" s="422">
        <v>0</v>
      </c>
      <c r="K16" s="25">
        <v>27</v>
      </c>
      <c r="L16" s="12"/>
    </row>
    <row r="17" spans="1:12" x14ac:dyDescent="0.25">
      <c r="A17" s="428" t="s">
        <v>4278</v>
      </c>
      <c r="B17" s="431">
        <v>45.034855047619047</v>
      </c>
      <c r="C17" s="432">
        <v>18.009775047619044</v>
      </c>
      <c r="D17" s="24">
        <v>2759</v>
      </c>
      <c r="E17" s="25" t="s">
        <v>960</v>
      </c>
      <c r="F17" s="23">
        <v>5578.9285714285716</v>
      </c>
      <c r="G17" s="25">
        <f t="shared" si="1"/>
        <v>98.095982142857139</v>
      </c>
      <c r="H17" s="49" t="s">
        <v>69</v>
      </c>
      <c r="I17" s="24" t="s">
        <v>69</v>
      </c>
      <c r="J17" s="422">
        <v>0</v>
      </c>
      <c r="K17" s="25">
        <v>39</v>
      </c>
      <c r="L17" s="12"/>
    </row>
    <row r="18" spans="1:12" x14ac:dyDescent="0.25">
      <c r="A18" s="428" t="s">
        <v>4279</v>
      </c>
      <c r="B18" s="431">
        <v>40.755097886956534</v>
      </c>
      <c r="C18" s="432">
        <v>13.009315452173913</v>
      </c>
      <c r="D18" s="24">
        <v>3313</v>
      </c>
      <c r="E18" s="25" t="s">
        <v>960</v>
      </c>
      <c r="F18" s="23">
        <v>5274.869565217391</v>
      </c>
      <c r="G18" s="25">
        <f t="shared" si="1"/>
        <v>107.59782608695653</v>
      </c>
      <c r="H18" s="49" t="s">
        <v>69</v>
      </c>
      <c r="I18" s="24" t="s">
        <v>69</v>
      </c>
      <c r="J18" s="422">
        <v>0</v>
      </c>
      <c r="K18" s="25">
        <v>47</v>
      </c>
      <c r="L18" s="12"/>
    </row>
    <row r="19" spans="1:12" x14ac:dyDescent="0.25">
      <c r="A19" s="428" t="s">
        <v>4275</v>
      </c>
      <c r="B19" s="431">
        <v>43.445903764705875</v>
      </c>
      <c r="C19" s="432">
        <v>3.0837917647058855</v>
      </c>
      <c r="D19" s="24">
        <v>4298</v>
      </c>
      <c r="E19" s="25" t="s">
        <v>960</v>
      </c>
      <c r="F19" s="23">
        <v>4419.9235294117643</v>
      </c>
      <c r="G19" s="25">
        <f t="shared" si="1"/>
        <v>134.31488970588236</v>
      </c>
      <c r="H19" s="49" t="s">
        <v>69</v>
      </c>
      <c r="I19" s="24" t="s">
        <v>69</v>
      </c>
      <c r="J19" s="422">
        <v>0</v>
      </c>
      <c r="K19" s="25">
        <v>61</v>
      </c>
      <c r="L19" s="12"/>
    </row>
    <row r="20" spans="1:12" x14ac:dyDescent="0.25">
      <c r="A20" s="428" t="s">
        <v>4276</v>
      </c>
      <c r="B20" s="431">
        <v>41.605589905952442</v>
      </c>
      <c r="C20" s="432">
        <v>-1.2849741202380973</v>
      </c>
      <c r="D20" s="24">
        <v>4806</v>
      </c>
      <c r="E20" s="25" t="s">
        <v>960</v>
      </c>
      <c r="F20" s="23">
        <v>5075.166666666667</v>
      </c>
      <c r="G20" s="25">
        <f t="shared" si="1"/>
        <v>113.83854166666666</v>
      </c>
      <c r="H20" s="49" t="s">
        <v>69</v>
      </c>
      <c r="I20" s="24" t="s">
        <v>69</v>
      </c>
      <c r="J20" s="422">
        <v>0</v>
      </c>
      <c r="K20" s="25">
        <v>69</v>
      </c>
      <c r="L20" s="12"/>
    </row>
    <row r="21" spans="1:12" ht="15.75" thickBot="1" x14ac:dyDescent="0.3">
      <c r="A21" s="429" t="s">
        <v>4277</v>
      </c>
      <c r="B21" s="433">
        <v>39.633363688000003</v>
      </c>
      <c r="C21" s="434">
        <v>-8.4623614213333322</v>
      </c>
      <c r="D21" s="423">
        <v>6219</v>
      </c>
      <c r="E21" s="58" t="s">
        <v>960</v>
      </c>
      <c r="F21" s="424">
        <v>5171.2333333333336</v>
      </c>
      <c r="G21" s="58">
        <f t="shared" si="1"/>
        <v>110.83645833333333</v>
      </c>
      <c r="H21" s="420" t="s">
        <v>69</v>
      </c>
      <c r="I21" s="424" t="s">
        <v>69</v>
      </c>
      <c r="J21" s="442">
        <v>0</v>
      </c>
      <c r="K21" s="58">
        <v>89</v>
      </c>
      <c r="L21" s="12"/>
    </row>
    <row r="22" spans="1:12" x14ac:dyDescent="0.25">
      <c r="A22" s="33" t="s">
        <v>4704</v>
      </c>
      <c r="F22" s="18"/>
      <c r="G22" s="18"/>
    </row>
    <row r="23" spans="1:12" x14ac:dyDescent="0.25">
      <c r="A23" s="33" t="s">
        <v>4705</v>
      </c>
    </row>
    <row r="24" spans="1:12" x14ac:dyDescent="0.25">
      <c r="A24" s="33" t="s">
        <v>4411</v>
      </c>
    </row>
    <row r="25" spans="1:12" x14ac:dyDescent="0.25">
      <c r="A25" s="33" t="s">
        <v>4414</v>
      </c>
    </row>
    <row r="26" spans="1:12" x14ac:dyDescent="0.25">
      <c r="A26" s="33" t="s">
        <v>4706</v>
      </c>
    </row>
    <row r="27" spans="1:12" x14ac:dyDescent="0.25">
      <c r="A27" s="33" t="s">
        <v>4661</v>
      </c>
    </row>
    <row r="28" spans="1:12" x14ac:dyDescent="0.25">
      <c r="A28" s="33" t="s">
        <v>4663</v>
      </c>
    </row>
    <row r="29" spans="1:12" x14ac:dyDescent="0.25">
      <c r="A29" s="33"/>
    </row>
  </sheetData>
  <mergeCells count="10">
    <mergeCell ref="I4:I5"/>
    <mergeCell ref="J4:J5"/>
    <mergeCell ref="K4:K5"/>
    <mergeCell ref="F4:F5"/>
    <mergeCell ref="G4:G5"/>
    <mergeCell ref="B4:B5"/>
    <mergeCell ref="C4:C5"/>
    <mergeCell ref="D4:D5"/>
    <mergeCell ref="E4:E5"/>
    <mergeCell ref="H4:H5"/>
  </mergeCells>
  <pageMargins left="0.19685039370078741" right="0.19685039370078741" top="0.55118110236220474" bottom="0.55118110236220474" header="0.31496062992125984" footer="0.31496062992125984"/>
  <pageSetup paperSize="9" scale="9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2"/>
  <sheetViews>
    <sheetView zoomScale="75" zoomScaleNormal="75" workbookViewId="0">
      <selection activeCell="K30" sqref="K30"/>
    </sheetView>
  </sheetViews>
  <sheetFormatPr baseColWidth="10" defaultRowHeight="15" x14ac:dyDescent="0.25"/>
  <cols>
    <col min="1" max="1" width="38" customWidth="1"/>
    <col min="2" max="2" width="6" style="5" customWidth="1"/>
    <col min="3" max="3" width="7.140625" style="5" customWidth="1"/>
    <col min="4" max="4" width="13.28515625" style="2" customWidth="1"/>
    <col min="5" max="5" width="12.140625" customWidth="1"/>
    <col min="6" max="6" width="15.7109375" customWidth="1"/>
    <col min="7" max="8" width="12.7109375" customWidth="1"/>
    <col min="9" max="9" width="9" customWidth="1"/>
    <col min="10" max="10" width="10" style="2" customWidth="1"/>
    <col min="11" max="12" width="10.42578125" customWidth="1"/>
    <col min="13" max="13" width="10.140625" customWidth="1"/>
    <col min="14" max="16" width="10.28515625" customWidth="1"/>
    <col min="17" max="18" width="10.42578125" customWidth="1"/>
    <col min="19" max="19" width="10.140625" customWidth="1"/>
  </cols>
  <sheetData>
    <row r="1" spans="1:19" ht="26.25" x14ac:dyDescent="0.4">
      <c r="F1" s="863" t="s">
        <v>4696</v>
      </c>
    </row>
    <row r="3" spans="1:19" ht="18.75" x14ac:dyDescent="0.3">
      <c r="A3" s="35" t="s">
        <v>4664</v>
      </c>
    </row>
    <row r="4" spans="1:19" ht="18.75" x14ac:dyDescent="0.3">
      <c r="A4" s="35"/>
    </row>
    <row r="5" spans="1:19" ht="15.75" thickBot="1" x14ac:dyDescent="0.3">
      <c r="F5" s="1087" t="s">
        <v>4404</v>
      </c>
      <c r="G5" s="1087"/>
      <c r="H5" s="1087" t="s">
        <v>4404</v>
      </c>
      <c r="I5" s="1087"/>
      <c r="J5" s="713"/>
      <c r="K5" s="1087" t="s">
        <v>4404</v>
      </c>
      <c r="L5" s="1087"/>
      <c r="M5" s="1087" t="s">
        <v>4404</v>
      </c>
      <c r="N5" s="1087"/>
      <c r="O5" s="1091" t="s">
        <v>4405</v>
      </c>
      <c r="P5" s="1091"/>
      <c r="Q5" s="1088" t="s">
        <v>4405</v>
      </c>
      <c r="R5" s="1088"/>
      <c r="S5" s="2"/>
    </row>
    <row r="6" spans="1:19" s="711" customFormat="1" ht="19.5" thickBot="1" x14ac:dyDescent="0.35">
      <c r="A6" s="711" t="s">
        <v>4393</v>
      </c>
      <c r="B6" s="711" t="s">
        <v>4394</v>
      </c>
      <c r="C6" s="711" t="s">
        <v>547</v>
      </c>
      <c r="D6" s="711" t="s">
        <v>4395</v>
      </c>
      <c r="E6" s="711" t="s">
        <v>4396</v>
      </c>
      <c r="F6" s="716" t="s">
        <v>2</v>
      </c>
      <c r="G6" s="716" t="s">
        <v>345</v>
      </c>
      <c r="H6" s="716" t="s">
        <v>18</v>
      </c>
      <c r="I6" s="716" t="s">
        <v>80</v>
      </c>
      <c r="J6" s="712" t="s">
        <v>34</v>
      </c>
      <c r="K6" s="716" t="s">
        <v>43</v>
      </c>
      <c r="L6" s="716" t="s">
        <v>4397</v>
      </c>
      <c r="M6" s="716" t="s">
        <v>14</v>
      </c>
      <c r="N6" s="716" t="s">
        <v>170</v>
      </c>
      <c r="O6" s="717" t="s">
        <v>4398</v>
      </c>
      <c r="P6" s="717" t="s">
        <v>4399</v>
      </c>
      <c r="Q6" s="717" t="s">
        <v>4400</v>
      </c>
      <c r="R6" s="717" t="s">
        <v>1314</v>
      </c>
      <c r="S6" s="712" t="s">
        <v>4401</v>
      </c>
    </row>
    <row r="7" spans="1:19" ht="21" customHeight="1" thickBot="1" x14ac:dyDescent="0.4">
      <c r="A7" s="26"/>
      <c r="B7" s="1075" t="s">
        <v>4665</v>
      </c>
      <c r="C7" s="1075" t="s">
        <v>4666</v>
      </c>
      <c r="D7" s="1077" t="s">
        <v>4258</v>
      </c>
      <c r="E7" s="1075" t="s">
        <v>4410</v>
      </c>
      <c r="F7" s="1083" t="s">
        <v>4403</v>
      </c>
      <c r="G7" s="1083" t="s">
        <v>4256</v>
      </c>
      <c r="H7" s="1083" t="s">
        <v>4255</v>
      </c>
      <c r="I7" s="1085" t="s">
        <v>4257</v>
      </c>
      <c r="J7" s="709"/>
      <c r="K7" s="1085" t="s">
        <v>4523</v>
      </c>
      <c r="L7" s="1085" t="s">
        <v>4524</v>
      </c>
      <c r="M7" s="1085" t="s">
        <v>4525</v>
      </c>
      <c r="N7" s="1085" t="s">
        <v>4526</v>
      </c>
      <c r="O7" s="1089" t="s">
        <v>4527</v>
      </c>
      <c r="P7" s="1089" t="s">
        <v>4528</v>
      </c>
      <c r="Q7" s="1089" t="s">
        <v>4529</v>
      </c>
      <c r="R7" s="1089" t="s">
        <v>4530</v>
      </c>
      <c r="S7" s="1077" t="s">
        <v>4254</v>
      </c>
    </row>
    <row r="8" spans="1:19" ht="88.5" customHeight="1" thickBot="1" x14ac:dyDescent="0.3">
      <c r="A8" s="43" t="s">
        <v>4407</v>
      </c>
      <c r="B8" s="1076"/>
      <c r="C8" s="1076"/>
      <c r="D8" s="1078"/>
      <c r="E8" s="1076"/>
      <c r="F8" s="1084"/>
      <c r="G8" s="1084"/>
      <c r="H8" s="1084"/>
      <c r="I8" s="1086"/>
      <c r="J8" s="710" t="s">
        <v>4402</v>
      </c>
      <c r="K8" s="1086"/>
      <c r="L8" s="1086"/>
      <c r="M8" s="1086"/>
      <c r="N8" s="1086"/>
      <c r="O8" s="1090"/>
      <c r="P8" s="1090"/>
      <c r="Q8" s="1090"/>
      <c r="R8" s="1090"/>
      <c r="S8" s="1078"/>
    </row>
    <row r="9" spans="1:19" x14ac:dyDescent="0.25">
      <c r="A9" s="838" t="s">
        <v>4239</v>
      </c>
      <c r="B9" s="842">
        <v>37.07611231578948</v>
      </c>
      <c r="C9" s="843"/>
      <c r="D9" s="12">
        <f>2*6371*ASIN(SQRT((SIN(RADIANS(B9-35.87)/2))^2+((SIN(RADIANS(C9-38.4)/2))^2)*COS(RADIANS(B9))*COS(RADIANS(35.87))))</f>
        <v>3412.7027186924392</v>
      </c>
      <c r="E9" s="16" t="s">
        <v>959</v>
      </c>
      <c r="F9" s="714">
        <f>6371*(RADIANS(B9)-RADIANS(35.87))</f>
        <v>134.1135704793106</v>
      </c>
      <c r="G9" s="714">
        <f>6371*(RADIANS(38.4)-RADIANS(C9))*COS(RADIANS(B9))</f>
        <v>3406.6653319319726</v>
      </c>
      <c r="H9" s="714">
        <f>6371*(RADIANS(38.4)-RADIANS(C9))*COS(RADIANS(35.87))</f>
        <v>3460.0952806718269</v>
      </c>
      <c r="I9" s="714">
        <f>(G9+H9)/2</f>
        <v>3433.3803063018995</v>
      </c>
      <c r="J9" s="714">
        <f>SQRT(F9^2+I9^2)</f>
        <v>3435.9986579578922</v>
      </c>
      <c r="K9" s="714">
        <f>(F9/50)</f>
        <v>2.6822714095862121</v>
      </c>
      <c r="L9" s="844">
        <f>I9/50</f>
        <v>68.667606126037995</v>
      </c>
      <c r="M9" s="27">
        <v>3</v>
      </c>
      <c r="N9" s="437">
        <v>-2</v>
      </c>
      <c r="O9" s="714" t="s">
        <v>69</v>
      </c>
      <c r="P9" s="714" t="s">
        <v>69</v>
      </c>
      <c r="Q9" s="714" t="s">
        <v>69</v>
      </c>
      <c r="R9" s="714" t="s">
        <v>69</v>
      </c>
      <c r="S9" s="437">
        <f>SQRT((M9*50)^2+(N9*50)^2)</f>
        <v>180.27756377319946</v>
      </c>
    </row>
    <row r="10" spans="1:19" x14ac:dyDescent="0.25">
      <c r="A10" s="430" t="s">
        <v>4246</v>
      </c>
      <c r="B10" s="435">
        <v>37.856328695652174</v>
      </c>
      <c r="C10" s="436">
        <v>33.258768347826084</v>
      </c>
      <c r="D10" s="32">
        <f t="shared" ref="D10:D18" si="0">2*6371*ASIN(SQRT((SIN(RADIANS(B10-35.87)/2))^2+((SIN(RADIANS(C10-38.4)/2))^2)*COS(RADIANS(B10))*COS(RADIANS(35.87))))</f>
        <v>507.81508094110177</v>
      </c>
      <c r="E10" s="22" t="s">
        <v>959</v>
      </c>
      <c r="F10" s="31">
        <f t="shared" ref="F10:F18" si="1">6371*(RADIANS(B10)-RADIANS(35.87))</f>
        <v>220.86967360502618</v>
      </c>
      <c r="G10" s="31">
        <f t="shared" ref="G10:G18" si="2">6371*(RADIANS(38.4)-RADIANS(C10))*COS(RADIANS(B10))</f>
        <v>451.37023951436396</v>
      </c>
      <c r="H10" s="31">
        <f t="shared" ref="H10:H18" si="3">6371*(RADIANS(38.4)-RADIANS(C10))*COS(RADIANS(35.87))</f>
        <v>463.25915043040584</v>
      </c>
      <c r="I10" s="31">
        <f t="shared" ref="I10:I18" si="4">(G10+H10)/2</f>
        <v>457.31469497238493</v>
      </c>
      <c r="J10" s="714">
        <f t="shared" ref="J10:J18" si="5">SQRT(F10^2+I10^2)</f>
        <v>507.8583886833772</v>
      </c>
      <c r="K10" s="31">
        <f t="shared" ref="K10:K18" si="6">(F10/50)</f>
        <v>4.4173934721005237</v>
      </c>
      <c r="L10" s="425">
        <f t="shared" ref="L10:L18" si="7">I10/50</f>
        <v>9.1462938994476985</v>
      </c>
      <c r="M10" s="21">
        <v>4</v>
      </c>
      <c r="N10" s="22">
        <v>9</v>
      </c>
      <c r="O10" s="31" t="s">
        <v>69</v>
      </c>
      <c r="P10" s="31" t="s">
        <v>69</v>
      </c>
      <c r="Q10" s="31" t="s">
        <v>69</v>
      </c>
      <c r="R10" s="31" t="s">
        <v>69</v>
      </c>
      <c r="S10" s="16">
        <f>SQRT((M10*50)^2+(N10*50)^2)</f>
        <v>492.44289008980525</v>
      </c>
    </row>
    <row r="11" spans="1:19" x14ac:dyDescent="0.25">
      <c r="A11" s="430" t="s">
        <v>4247</v>
      </c>
      <c r="B11" s="435">
        <v>40.287360714285704</v>
      </c>
      <c r="C11" s="436">
        <v>29.484389423035712</v>
      </c>
      <c r="D11" s="32">
        <f t="shared" si="0"/>
        <v>921.36878777475044</v>
      </c>
      <c r="E11" s="22" t="s">
        <v>959</v>
      </c>
      <c r="F11" s="31">
        <f t="shared" si="1"/>
        <v>491.18810058755531</v>
      </c>
      <c r="G11" s="31">
        <f t="shared" si="2"/>
        <v>756.22843884728411</v>
      </c>
      <c r="H11" s="31">
        <f t="shared" si="3"/>
        <v>803.35578337661343</v>
      </c>
      <c r="I11" s="31">
        <f t="shared" si="4"/>
        <v>779.79211111194877</v>
      </c>
      <c r="J11" s="714">
        <f t="shared" si="5"/>
        <v>921.59724756058176</v>
      </c>
      <c r="K11" s="31">
        <f t="shared" si="6"/>
        <v>9.8237620117511071</v>
      </c>
      <c r="L11" s="425">
        <f t="shared" si="7"/>
        <v>15.595842222238975</v>
      </c>
      <c r="M11" s="21">
        <v>10</v>
      </c>
      <c r="N11" s="22">
        <v>16</v>
      </c>
      <c r="O11" s="31" t="s">
        <v>69</v>
      </c>
      <c r="P11" s="31" t="s">
        <v>69</v>
      </c>
      <c r="Q11" s="31" t="s">
        <v>69</v>
      </c>
      <c r="R11" s="31" t="s">
        <v>69</v>
      </c>
      <c r="S11" s="16">
        <f>SQRT((M11*50)^2+(N11*50)^2)</f>
        <v>943.39811320566037</v>
      </c>
    </row>
    <row r="12" spans="1:19" x14ac:dyDescent="0.25">
      <c r="A12" s="430" t="s">
        <v>4248</v>
      </c>
      <c r="B12" s="435">
        <v>42.849299187500002</v>
      </c>
      <c r="C12" s="436">
        <v>25.544771750000002</v>
      </c>
      <c r="D12" s="32">
        <f t="shared" si="0"/>
        <v>1348.0124060006663</v>
      </c>
      <c r="E12" s="22" t="s">
        <v>959</v>
      </c>
      <c r="F12" s="31">
        <f t="shared" si="1"/>
        <v>776.06266118449184</v>
      </c>
      <c r="G12" s="31">
        <f t="shared" si="2"/>
        <v>1047.9839453792965</v>
      </c>
      <c r="H12" s="31">
        <f t="shared" si="3"/>
        <v>1158.3415260360453</v>
      </c>
      <c r="I12" s="31">
        <f t="shared" si="4"/>
        <v>1103.1627357076709</v>
      </c>
      <c r="J12" s="714">
        <f t="shared" si="5"/>
        <v>1348.7925250159076</v>
      </c>
      <c r="K12" s="31">
        <f t="shared" si="6"/>
        <v>15.521253223689836</v>
      </c>
      <c r="L12" s="425">
        <f t="shared" si="7"/>
        <v>22.063254714153416</v>
      </c>
      <c r="M12" s="21">
        <v>16</v>
      </c>
      <c r="N12" s="22">
        <v>22</v>
      </c>
      <c r="O12" s="31" t="s">
        <v>69</v>
      </c>
      <c r="P12" s="31" t="s">
        <v>69</v>
      </c>
      <c r="Q12" s="31" t="s">
        <v>69</v>
      </c>
      <c r="R12" s="31" t="s">
        <v>69</v>
      </c>
      <c r="S12" s="16">
        <f>SQRT((M12*50)^2+(N12*50)^2)</f>
        <v>1360.1470508735442</v>
      </c>
    </row>
    <row r="13" spans="1:19" s="2" customFormat="1" x14ac:dyDescent="0.25">
      <c r="A13" s="430" t="s">
        <v>4412</v>
      </c>
      <c r="B13" s="435">
        <v>44.936046974074053</v>
      </c>
      <c r="C13" s="436">
        <v>23.041176766666663</v>
      </c>
      <c r="D13" s="32">
        <f t="shared" si="0"/>
        <v>1640.7665878388398</v>
      </c>
      <c r="E13" s="22" t="s">
        <v>959</v>
      </c>
      <c r="F13" s="31">
        <f t="shared" si="1"/>
        <v>1008.0984282382888</v>
      </c>
      <c r="G13" s="31">
        <f t="shared" si="2"/>
        <v>1208.9605563720943</v>
      </c>
      <c r="H13" s="31">
        <f t="shared" si="3"/>
        <v>1383.932077768997</v>
      </c>
      <c r="I13" s="31">
        <f t="shared" si="4"/>
        <v>1296.4463170705458</v>
      </c>
      <c r="J13" s="714">
        <f t="shared" si="5"/>
        <v>1642.2653543390272</v>
      </c>
      <c r="K13" s="31">
        <f t="shared" si="6"/>
        <v>20.161968564765775</v>
      </c>
      <c r="L13" s="425">
        <f t="shared" si="7"/>
        <v>25.928926341410914</v>
      </c>
      <c r="M13" s="21">
        <v>20</v>
      </c>
      <c r="N13" s="22">
        <v>26</v>
      </c>
      <c r="O13" s="31" t="s">
        <v>69</v>
      </c>
      <c r="P13" s="31" t="s">
        <v>69</v>
      </c>
      <c r="Q13" s="31" t="s">
        <v>69</v>
      </c>
      <c r="R13" s="31" t="s">
        <v>69</v>
      </c>
      <c r="S13" s="16">
        <f t="shared" ref="S13:S18" si="8">SQRT((M13*50)^2+(N13*50)^2)</f>
        <v>1640.1219466856726</v>
      </c>
    </row>
    <row r="14" spans="1:19" x14ac:dyDescent="0.25">
      <c r="A14" s="430" t="s">
        <v>4264</v>
      </c>
      <c r="B14" s="435">
        <v>46.882898362446163</v>
      </c>
      <c r="C14" s="436">
        <v>19.349794441946585</v>
      </c>
      <c r="D14" s="32">
        <f t="shared" si="0"/>
        <v>1997.5042033903944</v>
      </c>
      <c r="E14" s="22" t="s">
        <v>959</v>
      </c>
      <c r="F14" s="31">
        <f t="shared" si="1"/>
        <v>1224.5784255561828</v>
      </c>
      <c r="G14" s="31">
        <f t="shared" si="2"/>
        <v>1447.8310043337381</v>
      </c>
      <c r="H14" s="31">
        <f t="shared" si="3"/>
        <v>1716.5501652929383</v>
      </c>
      <c r="I14" s="31">
        <f t="shared" si="4"/>
        <v>1582.1905848133383</v>
      </c>
      <c r="J14" s="714">
        <f t="shared" si="5"/>
        <v>2000.7297086337358</v>
      </c>
      <c r="K14" s="31">
        <f t="shared" si="6"/>
        <v>24.491568511123656</v>
      </c>
      <c r="L14" s="425">
        <f t="shared" si="7"/>
        <v>31.643811696266766</v>
      </c>
      <c r="M14" s="21">
        <v>25</v>
      </c>
      <c r="N14" s="22">
        <v>32</v>
      </c>
      <c r="O14" s="31" t="s">
        <v>69</v>
      </c>
      <c r="P14" s="31" t="s">
        <v>69</v>
      </c>
      <c r="Q14" s="31" t="s">
        <v>69</v>
      </c>
      <c r="R14" s="31" t="s">
        <v>69</v>
      </c>
      <c r="S14" s="16">
        <f t="shared" si="8"/>
        <v>2030.3940504246953</v>
      </c>
    </row>
    <row r="15" spans="1:19" x14ac:dyDescent="0.25">
      <c r="A15" s="430" t="s">
        <v>4263</v>
      </c>
      <c r="B15" s="435">
        <v>48.757060064864859</v>
      </c>
      <c r="C15" s="436">
        <v>16.360579012895062</v>
      </c>
      <c r="D15" s="32">
        <f t="shared" si="0"/>
        <v>2295.7877448207587</v>
      </c>
      <c r="E15" s="22" t="s">
        <v>959</v>
      </c>
      <c r="F15" s="31">
        <f t="shared" si="1"/>
        <v>1432.975698576671</v>
      </c>
      <c r="G15" s="31">
        <f t="shared" si="2"/>
        <v>1615.6131462720734</v>
      </c>
      <c r="H15" s="31">
        <f t="shared" si="3"/>
        <v>1985.8983475578493</v>
      </c>
      <c r="I15" s="31">
        <f t="shared" si="4"/>
        <v>1800.7557469149615</v>
      </c>
      <c r="J15" s="714">
        <f t="shared" si="5"/>
        <v>2301.3345286504</v>
      </c>
      <c r="K15" s="31">
        <f t="shared" si="6"/>
        <v>28.659513971533421</v>
      </c>
      <c r="L15" s="425">
        <f t="shared" si="7"/>
        <v>36.015114938299227</v>
      </c>
      <c r="M15" s="21">
        <v>29</v>
      </c>
      <c r="N15" s="22">
        <v>36</v>
      </c>
      <c r="O15" s="31" t="s">
        <v>69</v>
      </c>
      <c r="P15" s="31" t="s">
        <v>69</v>
      </c>
      <c r="Q15" s="31" t="s">
        <v>69</v>
      </c>
      <c r="R15" s="31" t="s">
        <v>69</v>
      </c>
      <c r="S15" s="16">
        <f t="shared" si="8"/>
        <v>2311.384866265244</v>
      </c>
    </row>
    <row r="16" spans="1:19" x14ac:dyDescent="0.25">
      <c r="A16" s="430" t="s">
        <v>4266</v>
      </c>
      <c r="B16" s="435">
        <v>50.69739806139664</v>
      </c>
      <c r="C16" s="436">
        <v>10.308239629106138</v>
      </c>
      <c r="D16" s="32">
        <f t="shared" si="0"/>
        <v>2780.9995467572435</v>
      </c>
      <c r="E16" s="22" t="s">
        <v>959</v>
      </c>
      <c r="F16" s="31">
        <f t="shared" si="1"/>
        <v>1648.7314397666728</v>
      </c>
      <c r="G16" s="31">
        <f t="shared" si="2"/>
        <v>1978.5770474989072</v>
      </c>
      <c r="H16" s="31">
        <f t="shared" si="3"/>
        <v>2531.2543615909822</v>
      </c>
      <c r="I16" s="31">
        <f t="shared" si="4"/>
        <v>2254.9157045449447</v>
      </c>
      <c r="J16" s="714">
        <f t="shared" si="5"/>
        <v>2793.3779184132086</v>
      </c>
      <c r="K16" s="31">
        <f t="shared" si="6"/>
        <v>32.974628795333459</v>
      </c>
      <c r="L16" s="425">
        <f t="shared" si="7"/>
        <v>45.098314090898896</v>
      </c>
      <c r="M16" s="21">
        <v>33</v>
      </c>
      <c r="N16" s="22">
        <v>45</v>
      </c>
      <c r="O16" s="31" t="s">
        <v>69</v>
      </c>
      <c r="P16" s="31" t="s">
        <v>69</v>
      </c>
      <c r="Q16" s="31" t="s">
        <v>69</v>
      </c>
      <c r="R16" s="31" t="s">
        <v>69</v>
      </c>
      <c r="S16" s="16">
        <f t="shared" si="8"/>
        <v>2790.1612856607412</v>
      </c>
    </row>
    <row r="17" spans="1:19" x14ac:dyDescent="0.25">
      <c r="A17" s="430" t="s">
        <v>4261</v>
      </c>
      <c r="B17" s="435">
        <v>56.809353457142898</v>
      </c>
      <c r="C17" s="436">
        <v>13.3320059857143</v>
      </c>
      <c r="D17" s="32">
        <f>2*6371*ASIN(SQRT((SIN(RADIANS(B17-35.87)/2))^2+((SIN(RADIANS(C17-38.4)/2))^2)*COS(RADIANS(B17))*COS(RADIANS(35.87))))</f>
        <v>2985.8378321988553</v>
      </c>
      <c r="E17" s="22" t="s">
        <v>959</v>
      </c>
      <c r="F17" s="31">
        <f>6371*(RADIANS(B17)-RADIANS(35.87))</f>
        <v>2328.3498716514928</v>
      </c>
      <c r="G17" s="31">
        <f>6371*(RADIANS(38.4)-RADIANS(C17))*COS(RADIANS(B17))</f>
        <v>1525.9154269357123</v>
      </c>
      <c r="H17" s="31">
        <f>6371*(RADIANS(38.4)-RADIANS(C17))*COS(RADIANS(35.87))</f>
        <v>2258.7929110609261</v>
      </c>
      <c r="I17" s="31">
        <f>(G17+H17)/2</f>
        <v>1892.3541689983192</v>
      </c>
      <c r="J17" s="714">
        <f>SQRT(F17^2+I17^2)</f>
        <v>3000.3695481964955</v>
      </c>
      <c r="K17" s="31">
        <f t="shared" ref="K17" si="9">(F17/50)</f>
        <v>46.566997433029854</v>
      </c>
      <c r="L17" s="425">
        <f t="shared" ref="L17" si="10">I17/50</f>
        <v>37.847083379966385</v>
      </c>
      <c r="M17" s="21">
        <v>47</v>
      </c>
      <c r="N17" s="22">
        <v>38</v>
      </c>
      <c r="O17" s="31" t="s">
        <v>69</v>
      </c>
      <c r="P17" s="31" t="s">
        <v>69</v>
      </c>
      <c r="Q17" s="31" t="s">
        <v>69</v>
      </c>
      <c r="R17" s="31" t="s">
        <v>69</v>
      </c>
      <c r="S17" s="16">
        <f t="shared" ref="S17" si="11">SQRT((M17*50)^2+(N17*50)^2)</f>
        <v>3022.002647252315</v>
      </c>
    </row>
    <row r="18" spans="1:19" x14ac:dyDescent="0.25">
      <c r="A18" s="430" t="s">
        <v>4267</v>
      </c>
      <c r="B18" s="435">
        <v>48.266157409022505</v>
      </c>
      <c r="C18" s="436">
        <v>4.9024538864661631</v>
      </c>
      <c r="D18" s="32">
        <f t="shared" si="0"/>
        <v>3056.7242997182534</v>
      </c>
      <c r="E18" s="22" t="s">
        <v>959</v>
      </c>
      <c r="F18" s="31">
        <f t="shared" si="1"/>
        <v>1378.3898137706615</v>
      </c>
      <c r="G18" s="31">
        <f t="shared" si="2"/>
        <v>2479.4637749219564</v>
      </c>
      <c r="H18" s="31">
        <f t="shared" si="3"/>
        <v>3018.3515943105558</v>
      </c>
      <c r="I18" s="31">
        <f t="shared" si="4"/>
        <v>2748.9076846162561</v>
      </c>
      <c r="J18" s="714">
        <f t="shared" si="5"/>
        <v>3075.1344584016201</v>
      </c>
      <c r="K18" s="31">
        <f t="shared" si="6"/>
        <v>27.56779627541323</v>
      </c>
      <c r="L18" s="425">
        <f t="shared" si="7"/>
        <v>54.978153692325122</v>
      </c>
      <c r="M18" s="21">
        <v>28</v>
      </c>
      <c r="N18" s="22">
        <v>55</v>
      </c>
      <c r="O18" s="31" t="s">
        <v>69</v>
      </c>
      <c r="P18" s="31" t="s">
        <v>69</v>
      </c>
      <c r="Q18" s="31" t="s">
        <v>69</v>
      </c>
      <c r="R18" s="31" t="s">
        <v>69</v>
      </c>
      <c r="S18" s="16">
        <f t="shared" si="8"/>
        <v>3085.8548248418947</v>
      </c>
    </row>
    <row r="19" spans="1:19" x14ac:dyDescent="0.25">
      <c r="A19" s="428" t="s">
        <v>4280</v>
      </c>
      <c r="B19" s="431">
        <v>40.299879629444433</v>
      </c>
      <c r="C19" s="432">
        <v>22.013805555555557</v>
      </c>
      <c r="D19" s="24">
        <v>1902</v>
      </c>
      <c r="E19" s="25" t="s">
        <v>960</v>
      </c>
      <c r="F19" s="30" t="s">
        <v>69</v>
      </c>
      <c r="G19" s="30" t="s">
        <v>69</v>
      </c>
      <c r="H19" s="30" t="s">
        <v>69</v>
      </c>
      <c r="I19" s="30" t="s">
        <v>69</v>
      </c>
      <c r="J19" s="714" t="s">
        <v>69</v>
      </c>
      <c r="K19" s="30" t="s">
        <v>69</v>
      </c>
      <c r="L19" s="426" t="s">
        <v>69</v>
      </c>
      <c r="M19" s="23" t="s">
        <v>69</v>
      </c>
      <c r="N19" s="25" t="s">
        <v>69</v>
      </c>
      <c r="O19" s="23">
        <v>0</v>
      </c>
      <c r="P19" s="30">
        <f>D19/70</f>
        <v>27.171428571428571</v>
      </c>
      <c r="Q19" s="23">
        <v>0</v>
      </c>
      <c r="R19" s="24">
        <v>27</v>
      </c>
      <c r="S19" s="16">
        <f>R19*70</f>
        <v>1890</v>
      </c>
    </row>
    <row r="20" spans="1:19" x14ac:dyDescent="0.25">
      <c r="A20" s="428" t="s">
        <v>4278</v>
      </c>
      <c r="B20" s="431">
        <v>45.034855047619047</v>
      </c>
      <c r="C20" s="432">
        <v>18.009775047619044</v>
      </c>
      <c r="D20" s="24">
        <v>2759</v>
      </c>
      <c r="E20" s="25" t="s">
        <v>960</v>
      </c>
      <c r="F20" s="30" t="s">
        <v>69</v>
      </c>
      <c r="G20" s="30" t="s">
        <v>69</v>
      </c>
      <c r="H20" s="30" t="s">
        <v>69</v>
      </c>
      <c r="I20" s="30" t="s">
        <v>69</v>
      </c>
      <c r="J20" s="714" t="s">
        <v>69</v>
      </c>
      <c r="K20" s="30" t="s">
        <v>69</v>
      </c>
      <c r="L20" s="426" t="s">
        <v>69</v>
      </c>
      <c r="M20" s="23" t="s">
        <v>69</v>
      </c>
      <c r="N20" s="25" t="s">
        <v>69</v>
      </c>
      <c r="O20" s="23">
        <v>0</v>
      </c>
      <c r="P20" s="30">
        <f t="shared" ref="P20:P24" si="12">D20/70</f>
        <v>39.414285714285711</v>
      </c>
      <c r="Q20" s="23">
        <v>0</v>
      </c>
      <c r="R20" s="24">
        <v>39</v>
      </c>
      <c r="S20" s="16">
        <f t="shared" ref="S20:S24" si="13">R20*70</f>
        <v>2730</v>
      </c>
    </row>
    <row r="21" spans="1:19" x14ac:dyDescent="0.25">
      <c r="A21" s="428" t="s">
        <v>4279</v>
      </c>
      <c r="B21" s="431">
        <v>40.755097886956534</v>
      </c>
      <c r="C21" s="432">
        <v>13.009315452173913</v>
      </c>
      <c r="D21" s="24">
        <v>3313</v>
      </c>
      <c r="E21" s="25" t="s">
        <v>960</v>
      </c>
      <c r="F21" s="30" t="s">
        <v>69</v>
      </c>
      <c r="G21" s="30" t="s">
        <v>69</v>
      </c>
      <c r="H21" s="30" t="s">
        <v>69</v>
      </c>
      <c r="I21" s="30" t="s">
        <v>69</v>
      </c>
      <c r="J21" s="714" t="s">
        <v>69</v>
      </c>
      <c r="K21" s="30" t="s">
        <v>69</v>
      </c>
      <c r="L21" s="426" t="s">
        <v>69</v>
      </c>
      <c r="M21" s="23" t="s">
        <v>69</v>
      </c>
      <c r="N21" s="25" t="s">
        <v>69</v>
      </c>
      <c r="O21" s="23">
        <v>0</v>
      </c>
      <c r="P21" s="30">
        <f t="shared" si="12"/>
        <v>47.328571428571429</v>
      </c>
      <c r="Q21" s="23">
        <v>0</v>
      </c>
      <c r="R21" s="24">
        <v>47</v>
      </c>
      <c r="S21" s="16">
        <f t="shared" si="13"/>
        <v>3290</v>
      </c>
    </row>
    <row r="22" spans="1:19" x14ac:dyDescent="0.25">
      <c r="A22" s="428" t="s">
        <v>4275</v>
      </c>
      <c r="B22" s="431">
        <v>43.445903764705875</v>
      </c>
      <c r="C22" s="432">
        <v>3.0837917647058855</v>
      </c>
      <c r="D22" s="24">
        <v>4298</v>
      </c>
      <c r="E22" s="25" t="s">
        <v>960</v>
      </c>
      <c r="F22" s="30" t="s">
        <v>69</v>
      </c>
      <c r="G22" s="30" t="s">
        <v>69</v>
      </c>
      <c r="H22" s="30" t="s">
        <v>69</v>
      </c>
      <c r="I22" s="30" t="s">
        <v>69</v>
      </c>
      <c r="J22" s="714" t="s">
        <v>69</v>
      </c>
      <c r="K22" s="30" t="s">
        <v>69</v>
      </c>
      <c r="L22" s="426" t="s">
        <v>69</v>
      </c>
      <c r="M22" s="23" t="s">
        <v>69</v>
      </c>
      <c r="N22" s="25" t="s">
        <v>69</v>
      </c>
      <c r="O22" s="23">
        <v>0</v>
      </c>
      <c r="P22" s="30">
        <f t="shared" si="12"/>
        <v>61.4</v>
      </c>
      <c r="Q22" s="23">
        <v>0</v>
      </c>
      <c r="R22" s="24">
        <v>61</v>
      </c>
      <c r="S22" s="16">
        <f t="shared" si="13"/>
        <v>4270</v>
      </c>
    </row>
    <row r="23" spans="1:19" x14ac:dyDescent="0.25">
      <c r="A23" s="428" t="s">
        <v>4276</v>
      </c>
      <c r="B23" s="431">
        <v>41.605589905952442</v>
      </c>
      <c r="C23" s="432">
        <v>-1.2849741202380973</v>
      </c>
      <c r="D23" s="24">
        <v>4806</v>
      </c>
      <c r="E23" s="25" t="s">
        <v>960</v>
      </c>
      <c r="F23" s="30" t="s">
        <v>69</v>
      </c>
      <c r="G23" s="30" t="s">
        <v>69</v>
      </c>
      <c r="H23" s="30" t="s">
        <v>69</v>
      </c>
      <c r="I23" s="30" t="s">
        <v>69</v>
      </c>
      <c r="J23" s="714" t="s">
        <v>69</v>
      </c>
      <c r="K23" s="30" t="s">
        <v>69</v>
      </c>
      <c r="L23" s="426" t="s">
        <v>69</v>
      </c>
      <c r="M23" s="23" t="s">
        <v>69</v>
      </c>
      <c r="N23" s="25" t="s">
        <v>69</v>
      </c>
      <c r="O23" s="23">
        <v>0</v>
      </c>
      <c r="P23" s="30">
        <f t="shared" si="12"/>
        <v>68.657142857142858</v>
      </c>
      <c r="Q23" s="23">
        <v>0</v>
      </c>
      <c r="R23" s="24">
        <v>69</v>
      </c>
      <c r="S23" s="16">
        <f t="shared" si="13"/>
        <v>4830</v>
      </c>
    </row>
    <row r="24" spans="1:19" ht="15.75" thickBot="1" x14ac:dyDescent="0.3">
      <c r="A24" s="429" t="s">
        <v>4277</v>
      </c>
      <c r="B24" s="433">
        <v>39.633363688000003</v>
      </c>
      <c r="C24" s="434">
        <v>-8.4623614213333322</v>
      </c>
      <c r="D24" s="423">
        <v>6219</v>
      </c>
      <c r="E24" s="58" t="s">
        <v>960</v>
      </c>
      <c r="F24" s="440" t="s">
        <v>69</v>
      </c>
      <c r="G24" s="419" t="s">
        <v>69</v>
      </c>
      <c r="H24" s="419" t="s">
        <v>69</v>
      </c>
      <c r="I24" s="419" t="s">
        <v>69</v>
      </c>
      <c r="J24" s="715" t="s">
        <v>69</v>
      </c>
      <c r="K24" s="419" t="s">
        <v>69</v>
      </c>
      <c r="L24" s="427" t="s">
        <v>69</v>
      </c>
      <c r="M24" s="424" t="s">
        <v>69</v>
      </c>
      <c r="N24" s="58" t="s">
        <v>69</v>
      </c>
      <c r="O24" s="423">
        <v>0</v>
      </c>
      <c r="P24" s="419">
        <f t="shared" si="12"/>
        <v>88.842857142857142</v>
      </c>
      <c r="Q24" s="441">
        <v>0</v>
      </c>
      <c r="R24" s="443">
        <v>89</v>
      </c>
      <c r="S24" s="438">
        <f t="shared" si="13"/>
        <v>6230</v>
      </c>
    </row>
    <row r="25" spans="1:19" s="34" customFormat="1" ht="15.75" x14ac:dyDescent="0.25">
      <c r="A25" s="34" t="s">
        <v>4707</v>
      </c>
      <c r="B25" s="36"/>
      <c r="C25" s="36"/>
      <c r="D25" s="725"/>
      <c r="F25" s="726"/>
      <c r="G25" s="726"/>
      <c r="J25" s="725"/>
    </row>
    <row r="26" spans="1:19" s="34" customFormat="1" ht="15.75" x14ac:dyDescent="0.25">
      <c r="A26" s="34" t="s">
        <v>4708</v>
      </c>
      <c r="B26" s="36"/>
      <c r="C26" s="36"/>
    </row>
    <row r="27" spans="1:19" s="34" customFormat="1" ht="15.75" x14ac:dyDescent="0.25">
      <c r="A27" s="34" t="s">
        <v>4667</v>
      </c>
      <c r="B27" s="36"/>
      <c r="C27" s="36"/>
    </row>
    <row r="28" spans="1:19" s="34" customFormat="1" ht="15.75" x14ac:dyDescent="0.25">
      <c r="A28" s="34" t="s">
        <v>4668</v>
      </c>
      <c r="B28" s="36"/>
      <c r="C28" s="36"/>
    </row>
    <row r="29" spans="1:19" x14ac:dyDescent="0.25">
      <c r="A29" s="33"/>
      <c r="D29"/>
      <c r="J29"/>
    </row>
    <row r="32" spans="1:19" x14ac:dyDescent="0.25">
      <c r="A32" s="33"/>
    </row>
  </sheetData>
  <mergeCells count="23">
    <mergeCell ref="F5:G5"/>
    <mergeCell ref="H5:I5"/>
    <mergeCell ref="K5:L5"/>
    <mergeCell ref="Q5:R5"/>
    <mergeCell ref="O7:O8"/>
    <mergeCell ref="P7:P8"/>
    <mergeCell ref="Q7:Q8"/>
    <mergeCell ref="R7:R8"/>
    <mergeCell ref="O5:P5"/>
    <mergeCell ref="M5:N5"/>
    <mergeCell ref="S7:S8"/>
    <mergeCell ref="B7:B8"/>
    <mergeCell ref="C7:C8"/>
    <mergeCell ref="D7:D8"/>
    <mergeCell ref="E7:E8"/>
    <mergeCell ref="F7:F8"/>
    <mergeCell ref="G7:G8"/>
    <mergeCell ref="H7:H8"/>
    <mergeCell ref="I7:I8"/>
    <mergeCell ref="K7:K8"/>
    <mergeCell ref="L7:L8"/>
    <mergeCell ref="M7:M8"/>
    <mergeCell ref="N7:N8"/>
  </mergeCells>
  <pageMargins left="0.19685039370078741" right="0.19685039370078741" top="0.74803149606299213" bottom="0.74803149606299213" header="0.31496062992125984" footer="0.31496062992125984"/>
  <pageSetup paperSize="9" scale="6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9"/>
  <sheetViews>
    <sheetView zoomScale="130" zoomScaleNormal="130" workbookViewId="0">
      <selection activeCell="D26" sqref="D26"/>
    </sheetView>
  </sheetViews>
  <sheetFormatPr baseColWidth="10" defaultRowHeight="15" x14ac:dyDescent="0.25"/>
  <cols>
    <col min="1" max="1" width="37" customWidth="1"/>
    <col min="2" max="2" width="10.140625" style="5" customWidth="1"/>
    <col min="3" max="3" width="11.140625" style="5" customWidth="1"/>
    <col min="4" max="4" width="8.28515625" customWidth="1"/>
    <col min="5" max="6" width="13.85546875" style="13" customWidth="1"/>
    <col min="7" max="7" width="12.85546875" customWidth="1"/>
    <col min="8" max="8" width="10.7109375" customWidth="1"/>
    <col min="9" max="9" width="13.42578125" style="2" customWidth="1"/>
  </cols>
  <sheetData>
    <row r="1" spans="1:19" ht="23.25" x14ac:dyDescent="0.35">
      <c r="D1" s="862" t="s">
        <v>4697</v>
      </c>
    </row>
    <row r="2" spans="1:19" x14ac:dyDescent="0.25">
      <c r="D2" s="3"/>
    </row>
    <row r="3" spans="1:19" x14ac:dyDescent="0.25">
      <c r="D3" s="3"/>
    </row>
    <row r="4" spans="1:19" ht="15.75" thickBot="1" x14ac:dyDescent="0.3">
      <c r="A4" s="4" t="s">
        <v>4673</v>
      </c>
    </row>
    <row r="5" spans="1:19" ht="28.5" customHeight="1" x14ac:dyDescent="0.25">
      <c r="A5" s="1094" t="s">
        <v>4408</v>
      </c>
      <c r="B5" s="1092" t="s">
        <v>4669</v>
      </c>
      <c r="C5" s="1092" t="s">
        <v>4670</v>
      </c>
      <c r="D5" s="1094" t="s">
        <v>4289</v>
      </c>
      <c r="E5" s="1098" t="s">
        <v>4285</v>
      </c>
      <c r="F5" s="1100" t="s">
        <v>4286</v>
      </c>
      <c r="G5" s="1102" t="s">
        <v>4288</v>
      </c>
      <c r="H5" s="1104" t="s">
        <v>4287</v>
      </c>
      <c r="I5" s="1096" t="s">
        <v>4671</v>
      </c>
    </row>
    <row r="6" spans="1:19" ht="45" customHeight="1" thickBot="1" x14ac:dyDescent="0.3">
      <c r="A6" s="1095"/>
      <c r="B6" s="1093"/>
      <c r="C6" s="1093"/>
      <c r="D6" s="1095"/>
      <c r="E6" s="1099"/>
      <c r="F6" s="1101"/>
      <c r="G6" s="1103"/>
      <c r="H6" s="1105"/>
      <c r="I6" s="1097"/>
    </row>
    <row r="7" spans="1:19" x14ac:dyDescent="0.25">
      <c r="A7" s="838" t="s">
        <v>4239</v>
      </c>
      <c r="B7" s="12">
        <v>9</v>
      </c>
      <c r="C7" s="29">
        <v>19</v>
      </c>
      <c r="D7" s="839">
        <f>B7/C7</f>
        <v>0.47368421052631576</v>
      </c>
      <c r="E7" s="839">
        <f t="shared" ref="E7:E22" si="0">D7-G7</f>
        <v>0.31578921052631576</v>
      </c>
      <c r="F7" s="840">
        <f t="shared" ref="F7:F22" si="1">D7+H7</f>
        <v>0.63157921052631583</v>
      </c>
      <c r="G7" s="839">
        <f>15.7895/100</f>
        <v>0.15789500000000001</v>
      </c>
      <c r="H7" s="840">
        <f>15.7895/100</f>
        <v>0.15789500000000001</v>
      </c>
      <c r="I7" s="841">
        <v>158.60298505753522</v>
      </c>
    </row>
    <row r="8" spans="1:19" x14ac:dyDescent="0.25">
      <c r="A8" s="430" t="s">
        <v>4246</v>
      </c>
      <c r="B8" s="32">
        <v>16</v>
      </c>
      <c r="C8" s="57">
        <v>46</v>
      </c>
      <c r="D8" s="792">
        <f t="shared" ref="D8:D22" si="2">B8/C8</f>
        <v>0.34782608695652173</v>
      </c>
      <c r="E8" s="792">
        <f t="shared" si="0"/>
        <v>0.2608700869565217</v>
      </c>
      <c r="F8" s="795">
        <f t="shared" si="1"/>
        <v>0.43478308695652174</v>
      </c>
      <c r="G8" s="792">
        <f>8.6956/100</f>
        <v>8.6956000000000006E-2</v>
      </c>
      <c r="H8" s="795">
        <f>8.6957/100</f>
        <v>8.6957000000000007E-2</v>
      </c>
      <c r="I8" s="70">
        <v>507.81508094110177</v>
      </c>
    </row>
    <row r="9" spans="1:19" x14ac:dyDescent="0.25">
      <c r="A9" s="430" t="s">
        <v>4247</v>
      </c>
      <c r="B9" s="32">
        <v>20</v>
      </c>
      <c r="C9" s="57">
        <v>56</v>
      </c>
      <c r="D9" s="792">
        <f t="shared" si="2"/>
        <v>0.35714285714285715</v>
      </c>
      <c r="E9" s="792">
        <f t="shared" si="0"/>
        <v>0.26785685714285717</v>
      </c>
      <c r="F9" s="795">
        <f t="shared" si="1"/>
        <v>0.44642885714285713</v>
      </c>
      <c r="G9" s="792">
        <f>8.9286/100</f>
        <v>8.928599999999999E-2</v>
      </c>
      <c r="H9" s="795">
        <f>8.9286/100</f>
        <v>8.928599999999999E-2</v>
      </c>
      <c r="I9" s="70">
        <v>921.36878777475044</v>
      </c>
    </row>
    <row r="10" spans="1:19" x14ac:dyDescent="0.25">
      <c r="A10" s="430" t="s">
        <v>4248</v>
      </c>
      <c r="B10" s="32">
        <v>3</v>
      </c>
      <c r="C10" s="57">
        <v>16</v>
      </c>
      <c r="D10" s="792">
        <f t="shared" si="2"/>
        <v>0.1875</v>
      </c>
      <c r="E10" s="792">
        <f t="shared" si="0"/>
        <v>6.25E-2</v>
      </c>
      <c r="F10" s="795">
        <f t="shared" si="1"/>
        <v>0.3125</v>
      </c>
      <c r="G10" s="792">
        <f>12.5/100</f>
        <v>0.125</v>
      </c>
      <c r="H10" s="795">
        <f>12.5/100</f>
        <v>0.125</v>
      </c>
      <c r="I10" s="70">
        <v>1348.0124060006663</v>
      </c>
    </row>
    <row r="11" spans="1:19" x14ac:dyDescent="0.25">
      <c r="A11" s="430" t="s">
        <v>4412</v>
      </c>
      <c r="B11" s="32">
        <v>5</v>
      </c>
      <c r="C11" s="57">
        <v>30</v>
      </c>
      <c r="D11" s="792">
        <f t="shared" si="2"/>
        <v>0.16666666666666666</v>
      </c>
      <c r="E11" s="792">
        <f t="shared" si="0"/>
        <v>6.6666366666666657E-2</v>
      </c>
      <c r="F11" s="795">
        <f t="shared" si="1"/>
        <v>0.26666666666666666</v>
      </c>
      <c r="G11" s="792">
        <f>10.00003/100</f>
        <v>0.1000003</v>
      </c>
      <c r="H11" s="795">
        <f>10/100</f>
        <v>0.1</v>
      </c>
      <c r="I11" s="70">
        <v>1640.7665878388398</v>
      </c>
    </row>
    <row r="12" spans="1:19" x14ac:dyDescent="0.25">
      <c r="A12" s="430" t="s">
        <v>4264</v>
      </c>
      <c r="B12" s="32">
        <v>27</v>
      </c>
      <c r="C12" s="57">
        <v>129</v>
      </c>
      <c r="D12" s="792">
        <f t="shared" si="2"/>
        <v>0.20930232558139536</v>
      </c>
      <c r="E12" s="792">
        <f t="shared" si="0"/>
        <v>0.16279132558139536</v>
      </c>
      <c r="F12" s="795">
        <f t="shared" si="1"/>
        <v>0.25581432558139539</v>
      </c>
      <c r="G12" s="792">
        <f>4.6511/100</f>
        <v>4.6510999999999997E-2</v>
      </c>
      <c r="H12" s="795">
        <f>4.6512/100</f>
        <v>4.6512000000000005E-2</v>
      </c>
      <c r="I12" s="70">
        <v>1997.5042033903944</v>
      </c>
    </row>
    <row r="13" spans="1:19" x14ac:dyDescent="0.25">
      <c r="A13" s="430" t="s">
        <v>4263</v>
      </c>
      <c r="B13" s="32">
        <v>9</v>
      </c>
      <c r="C13" s="57">
        <v>37</v>
      </c>
      <c r="D13" s="792">
        <f t="shared" si="2"/>
        <v>0.24324324324324326</v>
      </c>
      <c r="E13" s="792">
        <f t="shared" si="0"/>
        <v>0.16216224324324324</v>
      </c>
      <c r="F13" s="795">
        <f t="shared" si="1"/>
        <v>0.32432424324324327</v>
      </c>
      <c r="G13" s="792">
        <f>8.1081/100</f>
        <v>8.1081E-2</v>
      </c>
      <c r="H13" s="795">
        <f>8.1081/100</f>
        <v>8.1081E-2</v>
      </c>
      <c r="I13" s="70">
        <v>2295.7877448207587</v>
      </c>
    </row>
    <row r="14" spans="1:19" x14ac:dyDescent="0.25">
      <c r="A14" s="430" t="s">
        <v>4266</v>
      </c>
      <c r="B14" s="32">
        <v>34</v>
      </c>
      <c r="C14" s="57">
        <v>179</v>
      </c>
      <c r="D14" s="792">
        <f t="shared" si="2"/>
        <v>0.18994413407821228</v>
      </c>
      <c r="E14" s="792">
        <f t="shared" si="0"/>
        <v>0.15083813407821228</v>
      </c>
      <c r="F14" s="795">
        <f t="shared" si="1"/>
        <v>0.22905013407821229</v>
      </c>
      <c r="G14" s="792">
        <f>3.9106/100</f>
        <v>3.9106000000000002E-2</v>
      </c>
      <c r="H14" s="795">
        <f>3.9106/100</f>
        <v>3.9106000000000002E-2</v>
      </c>
      <c r="I14" s="70">
        <v>2780.9995467572435</v>
      </c>
    </row>
    <row r="15" spans="1:19" s="11" customFormat="1" x14ac:dyDescent="0.25">
      <c r="A15" s="430" t="s">
        <v>4261</v>
      </c>
      <c r="B15" s="32">
        <v>15</v>
      </c>
      <c r="C15" s="57">
        <v>70</v>
      </c>
      <c r="D15" s="792">
        <f t="shared" si="2"/>
        <v>0.21428571428571427</v>
      </c>
      <c r="E15" s="792">
        <f t="shared" si="0"/>
        <v>0.15714271428571427</v>
      </c>
      <c r="F15" s="795">
        <f t="shared" si="1"/>
        <v>0.27142871428571425</v>
      </c>
      <c r="G15" s="792">
        <f>5.7143/100</f>
        <v>5.7142999999999999E-2</v>
      </c>
      <c r="H15" s="795">
        <f>5.7143/100</f>
        <v>5.7142999999999999E-2</v>
      </c>
      <c r="I15" s="70">
        <v>2985.8378321988553</v>
      </c>
      <c r="J15"/>
      <c r="K15"/>
      <c r="L15"/>
      <c r="M15"/>
      <c r="N15"/>
      <c r="O15"/>
      <c r="P15"/>
      <c r="Q15"/>
      <c r="R15"/>
      <c r="S15"/>
    </row>
    <row r="16" spans="1:19" s="11" customFormat="1" x14ac:dyDescent="0.25">
      <c r="A16" s="430" t="s">
        <v>4267</v>
      </c>
      <c r="B16" s="32">
        <v>29</v>
      </c>
      <c r="C16" s="57">
        <v>133</v>
      </c>
      <c r="D16" s="792">
        <f t="shared" si="2"/>
        <v>0.21804511278195488</v>
      </c>
      <c r="E16" s="792">
        <f t="shared" si="0"/>
        <v>0.17293211278195486</v>
      </c>
      <c r="F16" s="795">
        <f t="shared" si="1"/>
        <v>0.26315811278195489</v>
      </c>
      <c r="G16" s="792">
        <f>4.5113/100</f>
        <v>4.5113E-2</v>
      </c>
      <c r="H16" s="795">
        <f>4.5113/100</f>
        <v>4.5113E-2</v>
      </c>
      <c r="I16" s="70">
        <v>3056.7242997182534</v>
      </c>
      <c r="J16"/>
      <c r="K16"/>
      <c r="L16"/>
      <c r="M16"/>
      <c r="N16"/>
      <c r="O16"/>
      <c r="P16"/>
      <c r="Q16"/>
      <c r="R16"/>
      <c r="S16"/>
    </row>
    <row r="17" spans="1:9" x14ac:dyDescent="0.25">
      <c r="A17" s="428" t="s">
        <v>4280</v>
      </c>
      <c r="B17" s="67">
        <v>6</v>
      </c>
      <c r="C17" s="48">
        <v>18</v>
      </c>
      <c r="D17" s="792">
        <f t="shared" si="2"/>
        <v>0.33333333333333331</v>
      </c>
      <c r="E17" s="793">
        <f t="shared" si="0"/>
        <v>0.16666733333333333</v>
      </c>
      <c r="F17" s="796">
        <f t="shared" si="1"/>
        <v>0.50000033333333327</v>
      </c>
      <c r="G17" s="793">
        <f>16.6666/100</f>
        <v>0.16666599999999998</v>
      </c>
      <c r="H17" s="796">
        <f>16.6667/100</f>
        <v>0.16666699999999998</v>
      </c>
      <c r="I17" s="71">
        <v>1902</v>
      </c>
    </row>
    <row r="18" spans="1:9" x14ac:dyDescent="0.25">
      <c r="A18" s="428" t="s">
        <v>4278</v>
      </c>
      <c r="B18" s="24">
        <v>4</v>
      </c>
      <c r="C18" s="48">
        <v>21</v>
      </c>
      <c r="D18" s="792">
        <f t="shared" si="2"/>
        <v>0.19047619047619047</v>
      </c>
      <c r="E18" s="793">
        <f t="shared" si="0"/>
        <v>9.5238290476190465E-2</v>
      </c>
      <c r="F18" s="796">
        <f t="shared" si="1"/>
        <v>0.28571419047619045</v>
      </c>
      <c r="G18" s="793">
        <f>9.52379/100</f>
        <v>9.52379E-2</v>
      </c>
      <c r="H18" s="796">
        <f>9.5238/100</f>
        <v>9.5237999999999989E-2</v>
      </c>
      <c r="I18" s="71">
        <v>2759</v>
      </c>
    </row>
    <row r="19" spans="1:9" x14ac:dyDescent="0.25">
      <c r="A19" s="428" t="s">
        <v>4279</v>
      </c>
      <c r="B19" s="422">
        <v>7</v>
      </c>
      <c r="C19" s="422">
        <v>23</v>
      </c>
      <c r="D19" s="792">
        <f t="shared" si="2"/>
        <v>0.30434782608695654</v>
      </c>
      <c r="E19" s="793">
        <f t="shared" si="0"/>
        <v>0.17391282608695655</v>
      </c>
      <c r="F19" s="796">
        <f t="shared" si="1"/>
        <v>0.43478282608695651</v>
      </c>
      <c r="G19" s="793">
        <f>13.0435/100</f>
        <v>0.130435</v>
      </c>
      <c r="H19" s="796">
        <f>13.0435/100</f>
        <v>0.130435</v>
      </c>
      <c r="I19" s="71">
        <v>3313</v>
      </c>
    </row>
    <row r="20" spans="1:9" x14ac:dyDescent="0.25">
      <c r="A20" s="428" t="s">
        <v>4275</v>
      </c>
      <c r="B20" s="422">
        <v>17</v>
      </c>
      <c r="C20" s="422">
        <v>85</v>
      </c>
      <c r="D20" s="792">
        <f t="shared" si="2"/>
        <v>0.2</v>
      </c>
      <c r="E20" s="793">
        <f t="shared" si="0"/>
        <v>0.14117600000000002</v>
      </c>
      <c r="F20" s="796">
        <f t="shared" si="1"/>
        <v>0.258824</v>
      </c>
      <c r="G20" s="793">
        <f>5.8824/100</f>
        <v>5.8823999999999994E-2</v>
      </c>
      <c r="H20" s="796">
        <f>5.8824/100</f>
        <v>5.8823999999999994E-2</v>
      </c>
      <c r="I20" s="71">
        <v>4298</v>
      </c>
    </row>
    <row r="21" spans="1:9" x14ac:dyDescent="0.25">
      <c r="A21" s="428" t="s">
        <v>4276</v>
      </c>
      <c r="B21" s="422">
        <v>19</v>
      </c>
      <c r="C21" s="422">
        <v>84</v>
      </c>
      <c r="D21" s="792">
        <f t="shared" si="2"/>
        <v>0.22619047619047619</v>
      </c>
      <c r="E21" s="793">
        <f t="shared" si="0"/>
        <v>0.1666674761904762</v>
      </c>
      <c r="F21" s="796">
        <f t="shared" si="1"/>
        <v>0.28571447619047619</v>
      </c>
      <c r="G21" s="793">
        <f>5.9523/100</f>
        <v>5.9523E-2</v>
      </c>
      <c r="H21" s="796">
        <f>5.9524/100</f>
        <v>5.9524000000000001E-2</v>
      </c>
      <c r="I21" s="71">
        <v>4806</v>
      </c>
    </row>
    <row r="22" spans="1:9" ht="15.75" thickBot="1" x14ac:dyDescent="0.3">
      <c r="A22" s="429" t="s">
        <v>4277</v>
      </c>
      <c r="B22" s="420">
        <v>1</v>
      </c>
      <c r="C22" s="445">
        <v>15</v>
      </c>
      <c r="D22" s="794">
        <f t="shared" si="2"/>
        <v>6.6666666666666666E-2</v>
      </c>
      <c r="E22" s="797">
        <f t="shared" si="0"/>
        <v>-3.3333333329665926E-8</v>
      </c>
      <c r="F22" s="798">
        <f t="shared" si="1"/>
        <v>0.13333296666666666</v>
      </c>
      <c r="G22" s="797">
        <f>6.66667/100</f>
        <v>6.6666699999999995E-2</v>
      </c>
      <c r="H22" s="798">
        <f>6.66663/100</f>
        <v>6.6666299999999998E-2</v>
      </c>
      <c r="I22" s="444">
        <v>6219</v>
      </c>
    </row>
    <row r="23" spans="1:9" ht="15.75" thickBot="1" x14ac:dyDescent="0.3">
      <c r="A23" s="718" t="s">
        <v>4357</v>
      </c>
      <c r="B23" s="719">
        <f>SUM(B7:B22)</f>
        <v>221</v>
      </c>
      <c r="C23" s="720">
        <f>SUM(C7:C22)</f>
        <v>961</v>
      </c>
    </row>
    <row r="24" spans="1:9" x14ac:dyDescent="0.25">
      <c r="A24" s="33" t="s">
        <v>4709</v>
      </c>
      <c r="E24"/>
      <c r="F24"/>
      <c r="I24"/>
    </row>
    <row r="25" spans="1:9" x14ac:dyDescent="0.25">
      <c r="A25" s="33" t="s">
        <v>4533</v>
      </c>
      <c r="E25"/>
      <c r="F25"/>
      <c r="I25"/>
    </row>
    <row r="26" spans="1:9" x14ac:dyDescent="0.25">
      <c r="A26" s="33" t="s">
        <v>4672</v>
      </c>
      <c r="E26"/>
      <c r="F26"/>
      <c r="I26"/>
    </row>
    <row r="27" spans="1:9" s="721" customFormat="1" ht="11.25" x14ac:dyDescent="0.2">
      <c r="B27" s="722"/>
      <c r="C27" s="722"/>
      <c r="E27" s="724"/>
      <c r="F27" s="723"/>
      <c r="I27" s="87"/>
    </row>
    <row r="28" spans="1:9" s="721" customFormat="1" ht="11.25" x14ac:dyDescent="0.2">
      <c r="B28" s="722"/>
      <c r="C28" s="722"/>
      <c r="E28" s="724"/>
      <c r="F28" s="723"/>
      <c r="I28" s="87"/>
    </row>
    <row r="29" spans="1:9" s="721" customFormat="1" ht="11.25" x14ac:dyDescent="0.2">
      <c r="A29" s="721" t="s">
        <v>3297</v>
      </c>
      <c r="B29" s="722"/>
      <c r="C29" s="722"/>
      <c r="E29" s="723"/>
      <c r="F29" s="723"/>
      <c r="I29" s="87"/>
    </row>
  </sheetData>
  <mergeCells count="9">
    <mergeCell ref="B5:B6"/>
    <mergeCell ref="A5:A6"/>
    <mergeCell ref="D5:D6"/>
    <mergeCell ref="C5:C6"/>
    <mergeCell ref="I5:I6"/>
    <mergeCell ref="E5:E6"/>
    <mergeCell ref="F5:F6"/>
    <mergeCell ref="G5:G6"/>
    <mergeCell ref="H5:H6"/>
  </mergeCells>
  <pageMargins left="0.7" right="0.7" top="0.75" bottom="0.75" header="0.3" footer="0.3"/>
  <pageSetup paperSize="9" scale="9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5"/>
  <sheetViews>
    <sheetView zoomScaleNormal="100" workbookViewId="0">
      <selection activeCell="C15" sqref="C15"/>
    </sheetView>
  </sheetViews>
  <sheetFormatPr baseColWidth="10" defaultRowHeight="15" x14ac:dyDescent="0.25"/>
  <cols>
    <col min="1" max="1" width="36.7109375" customWidth="1"/>
    <col min="2" max="2" width="30.140625" customWidth="1"/>
    <col min="3" max="3" width="14.85546875" customWidth="1"/>
    <col min="4" max="4" width="15.140625" customWidth="1"/>
    <col min="5" max="5" width="6.42578125" customWidth="1"/>
    <col min="6" max="6" width="6" customWidth="1"/>
    <col min="7" max="7" width="6.7109375" customWidth="1"/>
    <col min="8" max="8" width="6.140625" customWidth="1"/>
    <col min="9" max="9" width="7.7109375" customWidth="1"/>
    <col min="10" max="10" width="6.28515625" customWidth="1"/>
    <col min="11" max="11" width="6" customWidth="1"/>
    <col min="12" max="12" width="5.85546875" customWidth="1"/>
    <col min="13" max="13" width="6.28515625" customWidth="1"/>
    <col min="14" max="14" width="10.42578125" style="5" customWidth="1"/>
    <col min="15" max="15" width="9.42578125" customWidth="1"/>
    <col min="16" max="17" width="11.42578125" style="5" customWidth="1"/>
    <col min="18" max="19" width="11.28515625" customWidth="1"/>
  </cols>
  <sheetData>
    <row r="1" spans="1:22" ht="31.5" x14ac:dyDescent="0.5">
      <c r="D1" s="1072" t="s">
        <v>4698</v>
      </c>
    </row>
    <row r="4" spans="1:22" ht="18.75" x14ac:dyDescent="0.3">
      <c r="A4" s="35" t="s">
        <v>4674</v>
      </c>
    </row>
    <row r="5" spans="1:22" ht="15.75" thickBot="1" x14ac:dyDescent="0.3">
      <c r="A5" s="188" t="s">
        <v>4558</v>
      </c>
      <c r="B5" s="111"/>
      <c r="C5" s="111"/>
      <c r="D5" s="111"/>
      <c r="E5" s="111"/>
      <c r="F5" s="111"/>
      <c r="G5" s="111"/>
      <c r="H5" s="111"/>
      <c r="I5" s="111"/>
      <c r="J5" s="111"/>
      <c r="K5" s="111"/>
      <c r="L5" s="111"/>
      <c r="M5" s="111"/>
      <c r="N5" s="1071"/>
      <c r="O5" s="111"/>
      <c r="P5" s="1071"/>
      <c r="Q5" s="1071"/>
      <c r="R5" s="111"/>
      <c r="S5" s="111"/>
      <c r="T5" s="111"/>
      <c r="U5" s="111"/>
      <c r="V5" s="111"/>
    </row>
    <row r="6" spans="1:22" ht="20.25" customHeight="1" x14ac:dyDescent="0.25">
      <c r="A6" s="1106" t="s">
        <v>4521</v>
      </c>
      <c r="B6" s="1112" t="s">
        <v>961</v>
      </c>
      <c r="C6" s="1124" t="s">
        <v>4415</v>
      </c>
      <c r="D6" s="1126" t="s">
        <v>4432</v>
      </c>
      <c r="E6" s="1114" t="s">
        <v>969</v>
      </c>
      <c r="F6" s="1114" t="s">
        <v>970</v>
      </c>
      <c r="G6" s="789"/>
      <c r="H6" s="789"/>
      <c r="I6" s="1108" t="s">
        <v>4650</v>
      </c>
      <c r="J6" s="1120" t="s">
        <v>4648</v>
      </c>
      <c r="K6" s="1116" t="s">
        <v>4649</v>
      </c>
      <c r="L6" s="1122" t="s">
        <v>4653</v>
      </c>
      <c r="M6" s="1118" t="s">
        <v>4654</v>
      </c>
      <c r="N6" s="1110" t="s">
        <v>4468</v>
      </c>
      <c r="O6" s="1108" t="s">
        <v>4469</v>
      </c>
      <c r="P6" s="1077" t="s">
        <v>4675</v>
      </c>
      <c r="Q6" s="1077" t="s">
        <v>4676</v>
      </c>
      <c r="R6" s="1077" t="s">
        <v>4677</v>
      </c>
      <c r="S6" s="1077" t="s">
        <v>4678</v>
      </c>
    </row>
    <row r="7" spans="1:22" ht="69" customHeight="1" thickBot="1" x14ac:dyDescent="0.3">
      <c r="A7" s="1107"/>
      <c r="B7" s="1113"/>
      <c r="C7" s="1125"/>
      <c r="D7" s="1127"/>
      <c r="E7" s="1115"/>
      <c r="F7" s="1115"/>
      <c r="G7" s="790" t="s">
        <v>4433</v>
      </c>
      <c r="H7" s="790" t="s">
        <v>4423</v>
      </c>
      <c r="I7" s="1109"/>
      <c r="J7" s="1121"/>
      <c r="K7" s="1117"/>
      <c r="L7" s="1123"/>
      <c r="M7" s="1119"/>
      <c r="N7" s="1111"/>
      <c r="O7" s="1109"/>
      <c r="P7" s="1078"/>
      <c r="Q7" s="1078"/>
      <c r="R7" s="1078"/>
      <c r="S7" s="1078"/>
    </row>
    <row r="8" spans="1:22" x14ac:dyDescent="0.25">
      <c r="A8" s="845" t="s">
        <v>4514</v>
      </c>
      <c r="B8" s="846" t="s">
        <v>4476</v>
      </c>
      <c r="C8" s="847" t="s">
        <v>4417</v>
      </c>
      <c r="D8" s="848" t="s">
        <v>4416</v>
      </c>
      <c r="E8" s="65">
        <v>35.869999999999997</v>
      </c>
      <c r="F8" s="849">
        <v>38.4</v>
      </c>
      <c r="G8" s="850" t="s">
        <v>69</v>
      </c>
      <c r="H8" s="851" t="s">
        <v>69</v>
      </c>
      <c r="I8" s="852" t="s">
        <v>4475</v>
      </c>
      <c r="J8" s="853" t="s">
        <v>69</v>
      </c>
      <c r="K8" s="853" t="s">
        <v>69</v>
      </c>
      <c r="L8" s="847" t="s">
        <v>69</v>
      </c>
      <c r="M8" s="854" t="s">
        <v>69</v>
      </c>
      <c r="N8" s="16">
        <v>0</v>
      </c>
      <c r="O8" s="855">
        <f t="shared" ref="O8:O12" si="0">2*6371*ASIN(SQRT((SIN(RADIANS(E8-$E$8)/2))^2+((SIN(RADIANS(F8-$F$8)/2))^2)*COS((PI()/180)*E8)*COS((PI()/180)*$E$8)))</f>
        <v>0</v>
      </c>
      <c r="P8" s="856">
        <v>0</v>
      </c>
      <c r="Q8" s="12">
        <v>0</v>
      </c>
      <c r="R8" s="29" t="s">
        <v>69</v>
      </c>
      <c r="S8" s="16" t="s">
        <v>69</v>
      </c>
    </row>
    <row r="9" spans="1:22" x14ac:dyDescent="0.25">
      <c r="A9" s="52" t="s">
        <v>4490</v>
      </c>
      <c r="B9" s="746" t="s">
        <v>650</v>
      </c>
      <c r="C9" s="66" t="s">
        <v>4418</v>
      </c>
      <c r="D9" s="749" t="s">
        <v>4489</v>
      </c>
      <c r="E9" s="53">
        <v>37.75</v>
      </c>
      <c r="F9" s="54">
        <v>32.86</v>
      </c>
      <c r="G9" s="755" t="s">
        <v>4444</v>
      </c>
      <c r="H9" s="756" t="s">
        <v>4445</v>
      </c>
      <c r="I9" s="739">
        <v>8260</v>
      </c>
      <c r="J9" s="740">
        <v>8220</v>
      </c>
      <c r="K9" s="740">
        <v>8285</v>
      </c>
      <c r="L9" s="55">
        <f t="shared" ref="L9:L10" si="1">I9-J9</f>
        <v>40</v>
      </c>
      <c r="M9" s="56">
        <f t="shared" ref="M9:M10" si="2">K9-I9</f>
        <v>25</v>
      </c>
      <c r="N9" s="22">
        <f t="shared" ref="N9:N16" si="3">(8718-I9)/32</f>
        <v>14.3125</v>
      </c>
      <c r="O9" s="740">
        <f t="shared" si="0"/>
        <v>535.55775496338072</v>
      </c>
      <c r="P9" s="66">
        <v>4</v>
      </c>
      <c r="Q9" s="32">
        <v>10</v>
      </c>
      <c r="R9" s="57" t="s">
        <v>69</v>
      </c>
      <c r="S9" s="22" t="s">
        <v>69</v>
      </c>
    </row>
    <row r="10" spans="1:22" x14ac:dyDescent="0.25">
      <c r="A10" s="52" t="s">
        <v>4495</v>
      </c>
      <c r="B10" s="747" t="s">
        <v>4419</v>
      </c>
      <c r="C10" s="66" t="s">
        <v>4418</v>
      </c>
      <c r="D10" s="750" t="s">
        <v>4420</v>
      </c>
      <c r="E10" s="763">
        <v>49.9</v>
      </c>
      <c r="F10" s="763">
        <v>10.08333</v>
      </c>
      <c r="G10" s="757">
        <v>6580</v>
      </c>
      <c r="H10" s="749">
        <v>20</v>
      </c>
      <c r="I10" s="739">
        <v>5525</v>
      </c>
      <c r="J10" s="740">
        <v>5480</v>
      </c>
      <c r="K10" s="740">
        <v>5615</v>
      </c>
      <c r="L10" s="55">
        <f t="shared" si="1"/>
        <v>45</v>
      </c>
      <c r="M10" s="56">
        <f t="shared" si="2"/>
        <v>90</v>
      </c>
      <c r="N10" s="22">
        <f t="shared" si="3"/>
        <v>99.78125</v>
      </c>
      <c r="O10" s="740">
        <f t="shared" si="0"/>
        <v>2758.6542101874588</v>
      </c>
      <c r="P10" s="775">
        <v>31</v>
      </c>
      <c r="Q10" s="780">
        <v>46</v>
      </c>
      <c r="R10" s="57" t="s">
        <v>69</v>
      </c>
      <c r="S10" s="22" t="s">
        <v>69</v>
      </c>
    </row>
    <row r="11" spans="1:22" x14ac:dyDescent="0.25">
      <c r="A11" s="52" t="s">
        <v>4447</v>
      </c>
      <c r="B11" s="787" t="s">
        <v>4496</v>
      </c>
      <c r="C11" s="66" t="s">
        <v>4418</v>
      </c>
      <c r="D11" s="750" t="s">
        <v>888</v>
      </c>
      <c r="E11" s="60">
        <v>48.755629999999996</v>
      </c>
      <c r="F11" s="60">
        <v>7.5995799999999996</v>
      </c>
      <c r="G11" s="757">
        <v>6340</v>
      </c>
      <c r="H11" s="749">
        <v>40</v>
      </c>
      <c r="I11" s="739">
        <v>5315</v>
      </c>
      <c r="J11" s="740">
        <v>5220</v>
      </c>
      <c r="K11" s="740">
        <v>5460</v>
      </c>
      <c r="L11" s="55">
        <f t="shared" ref="L11:L21" si="4">I11-J11</f>
        <v>95</v>
      </c>
      <c r="M11" s="56">
        <f>K11-I11</f>
        <v>145</v>
      </c>
      <c r="N11" s="22">
        <f>(8718-I11)/32</f>
        <v>106.34375</v>
      </c>
      <c r="O11" s="765">
        <f t="shared" si="0"/>
        <v>2881.2887465296126</v>
      </c>
      <c r="P11" s="775">
        <v>29</v>
      </c>
      <c r="Q11" s="780">
        <v>50</v>
      </c>
      <c r="R11" s="57" t="s">
        <v>69</v>
      </c>
      <c r="S11" s="22" t="s">
        <v>69</v>
      </c>
    </row>
    <row r="12" spans="1:22" s="2" customFormat="1" ht="15" customHeight="1" x14ac:dyDescent="0.25">
      <c r="A12" s="52" t="s">
        <v>4449</v>
      </c>
      <c r="B12" s="747" t="s">
        <v>4450</v>
      </c>
      <c r="C12" s="66" t="s">
        <v>4417</v>
      </c>
      <c r="D12" s="764" t="s">
        <v>4448</v>
      </c>
      <c r="E12" s="767">
        <v>50.683</v>
      </c>
      <c r="F12" s="768">
        <v>5.2</v>
      </c>
      <c r="G12" s="757">
        <v>6240</v>
      </c>
      <c r="H12" s="749">
        <v>100</v>
      </c>
      <c r="I12" s="739">
        <v>5180</v>
      </c>
      <c r="J12" s="740">
        <v>4885</v>
      </c>
      <c r="K12" s="740">
        <v>5460</v>
      </c>
      <c r="L12" s="55">
        <f t="shared" si="4"/>
        <v>295</v>
      </c>
      <c r="M12" s="56">
        <f t="shared" ref="M12:M18" si="5">K12-I12</f>
        <v>280</v>
      </c>
      <c r="N12" s="22">
        <f>(8718-I12)/32</f>
        <v>110.5625</v>
      </c>
      <c r="O12" s="740">
        <f t="shared" si="0"/>
        <v>3113.3871824501307</v>
      </c>
      <c r="P12" s="775">
        <v>33</v>
      </c>
      <c r="Q12" s="780">
        <v>53</v>
      </c>
      <c r="R12" s="57" t="s">
        <v>69</v>
      </c>
      <c r="S12" s="22" t="s">
        <v>69</v>
      </c>
    </row>
    <row r="13" spans="1:22" x14ac:dyDescent="0.25">
      <c r="A13" s="748" t="s">
        <v>4453</v>
      </c>
      <c r="B13" s="693" t="s">
        <v>4457</v>
      </c>
      <c r="C13" s="696" t="s">
        <v>4417</v>
      </c>
      <c r="D13" s="751" t="s">
        <v>4422</v>
      </c>
      <c r="E13" s="689">
        <v>34.829000000000001</v>
      </c>
      <c r="F13" s="694">
        <v>32.390999999999998</v>
      </c>
      <c r="G13" s="758">
        <v>9315</v>
      </c>
      <c r="H13" s="753">
        <v>60</v>
      </c>
      <c r="I13" s="741">
        <v>8565</v>
      </c>
      <c r="J13" s="742">
        <v>8305</v>
      </c>
      <c r="K13" s="742">
        <v>8750</v>
      </c>
      <c r="L13" s="49">
        <f t="shared" si="4"/>
        <v>260</v>
      </c>
      <c r="M13" s="50">
        <f t="shared" si="5"/>
        <v>185</v>
      </c>
      <c r="N13" s="695">
        <f>(8718-I13)/32</f>
        <v>4.78125</v>
      </c>
      <c r="O13" s="744">
        <v>685</v>
      </c>
      <c r="P13" s="67" t="s">
        <v>69</v>
      </c>
      <c r="Q13" s="24" t="s">
        <v>69</v>
      </c>
      <c r="R13" s="690">
        <v>0</v>
      </c>
      <c r="S13" s="698">
        <v>10</v>
      </c>
    </row>
    <row r="14" spans="1:22" x14ac:dyDescent="0.25">
      <c r="A14" s="46" t="s">
        <v>4458</v>
      </c>
      <c r="B14" s="748" t="s">
        <v>4456</v>
      </c>
      <c r="C14" s="49" t="s">
        <v>4417</v>
      </c>
      <c r="D14" s="752" t="s">
        <v>4424</v>
      </c>
      <c r="E14" s="47">
        <v>43.29</v>
      </c>
      <c r="F14" s="51">
        <v>3.36</v>
      </c>
      <c r="G14" s="759">
        <v>7010</v>
      </c>
      <c r="H14" s="754">
        <v>60</v>
      </c>
      <c r="I14" s="743">
        <v>5890</v>
      </c>
      <c r="J14" s="744">
        <v>5740</v>
      </c>
      <c r="K14" s="744">
        <v>6020</v>
      </c>
      <c r="L14" s="49">
        <f t="shared" si="4"/>
        <v>150</v>
      </c>
      <c r="M14" s="50">
        <f>K14-I14</f>
        <v>130</v>
      </c>
      <c r="N14" s="25">
        <f t="shared" si="3"/>
        <v>88.375</v>
      </c>
      <c r="O14" s="744">
        <v>4193</v>
      </c>
      <c r="P14" s="49" t="s">
        <v>69</v>
      </c>
      <c r="Q14" s="24" t="s">
        <v>69</v>
      </c>
      <c r="R14" s="23">
        <v>0</v>
      </c>
      <c r="S14" s="25">
        <v>60</v>
      </c>
    </row>
    <row r="15" spans="1:22" x14ac:dyDescent="0.25">
      <c r="A15" s="46" t="s">
        <v>4471</v>
      </c>
      <c r="B15" s="748" t="s">
        <v>4425</v>
      </c>
      <c r="C15" s="49" t="s">
        <v>4501</v>
      </c>
      <c r="D15" s="752" t="s">
        <v>4426</v>
      </c>
      <c r="E15" s="47">
        <v>41.383400000000002</v>
      </c>
      <c r="F15" s="51">
        <v>1.617</v>
      </c>
      <c r="G15" s="759">
        <v>6655</v>
      </c>
      <c r="H15" s="754">
        <v>45</v>
      </c>
      <c r="I15" s="743">
        <v>5580</v>
      </c>
      <c r="J15" s="745">
        <v>5485</v>
      </c>
      <c r="K15" s="744">
        <v>5675</v>
      </c>
      <c r="L15" s="49">
        <f t="shared" si="4"/>
        <v>95</v>
      </c>
      <c r="M15" s="50">
        <f t="shared" si="5"/>
        <v>95</v>
      </c>
      <c r="N15" s="25">
        <f t="shared" si="3"/>
        <v>98.0625</v>
      </c>
      <c r="O15" s="744">
        <v>4560</v>
      </c>
      <c r="P15" s="49" t="s">
        <v>69</v>
      </c>
      <c r="Q15" s="24" t="s">
        <v>69</v>
      </c>
      <c r="R15" s="23">
        <v>0</v>
      </c>
      <c r="S15" s="25">
        <v>65</v>
      </c>
    </row>
    <row r="16" spans="1:22" x14ac:dyDescent="0.25">
      <c r="A16" s="46" t="s">
        <v>4459</v>
      </c>
      <c r="B16" s="748" t="s">
        <v>971</v>
      </c>
      <c r="C16" s="49" t="s">
        <v>4417</v>
      </c>
      <c r="D16" s="752" t="s">
        <v>4427</v>
      </c>
      <c r="E16" s="47">
        <v>42.55</v>
      </c>
      <c r="F16" s="51">
        <v>-2.1800000000000002</v>
      </c>
      <c r="G16" s="759">
        <v>6250</v>
      </c>
      <c r="H16" s="754">
        <v>50</v>
      </c>
      <c r="I16" s="743">
        <v>5220</v>
      </c>
      <c r="J16" s="744">
        <v>5040</v>
      </c>
      <c r="K16" s="744">
        <v>5350</v>
      </c>
      <c r="L16" s="49">
        <f t="shared" si="4"/>
        <v>180</v>
      </c>
      <c r="M16" s="50">
        <f>K16-I16</f>
        <v>130</v>
      </c>
      <c r="N16" s="25">
        <f t="shared" si="3"/>
        <v>109.3125</v>
      </c>
      <c r="O16" s="744">
        <v>4819</v>
      </c>
      <c r="P16" s="49" t="s">
        <v>69</v>
      </c>
      <c r="Q16" s="24" t="s">
        <v>69</v>
      </c>
      <c r="R16" s="23">
        <v>0</v>
      </c>
      <c r="S16" s="25">
        <v>69</v>
      </c>
    </row>
    <row r="17" spans="1:20" s="2" customFormat="1" x14ac:dyDescent="0.25">
      <c r="A17" s="46" t="s">
        <v>4511</v>
      </c>
      <c r="B17" s="748" t="s">
        <v>4428</v>
      </c>
      <c r="C17" s="49" t="s">
        <v>4501</v>
      </c>
      <c r="D17" s="752" t="s">
        <v>4429</v>
      </c>
      <c r="E17" s="47">
        <v>38.85</v>
      </c>
      <c r="F17" s="51">
        <v>-9.34</v>
      </c>
      <c r="G17" s="759">
        <v>6497</v>
      </c>
      <c r="H17" s="754">
        <v>34</v>
      </c>
      <c r="I17" s="743">
        <v>5430</v>
      </c>
      <c r="J17" s="744">
        <v>5370</v>
      </c>
      <c r="K17" s="744">
        <v>5550</v>
      </c>
      <c r="L17" s="49">
        <f t="shared" si="4"/>
        <v>60</v>
      </c>
      <c r="M17" s="50">
        <f t="shared" si="5"/>
        <v>120</v>
      </c>
      <c r="N17" s="25">
        <f t="shared" ref="N17:N18" si="6">(8718-I17)/32</f>
        <v>102.75</v>
      </c>
      <c r="O17" s="744">
        <v>6117</v>
      </c>
      <c r="P17" s="49" t="s">
        <v>69</v>
      </c>
      <c r="Q17" s="24" t="s">
        <v>69</v>
      </c>
      <c r="R17" s="23">
        <v>0</v>
      </c>
      <c r="S17" s="25">
        <v>87</v>
      </c>
    </row>
    <row r="18" spans="1:20" x14ac:dyDescent="0.25">
      <c r="A18" s="46" t="s">
        <v>4466</v>
      </c>
      <c r="B18" s="748" t="s">
        <v>4465</v>
      </c>
      <c r="C18" s="49" t="s">
        <v>4417</v>
      </c>
      <c r="D18" s="752" t="s">
        <v>4467</v>
      </c>
      <c r="E18" s="769">
        <v>39.666699999999999</v>
      </c>
      <c r="F18" s="770">
        <v>16.433330000000002</v>
      </c>
      <c r="G18" s="759">
        <v>6956</v>
      </c>
      <c r="H18" s="754">
        <v>75</v>
      </c>
      <c r="I18" s="1066">
        <v>5834</v>
      </c>
      <c r="J18" s="1067">
        <v>5676</v>
      </c>
      <c r="K18" s="1067">
        <v>5991</v>
      </c>
      <c r="L18" s="49">
        <f t="shared" si="4"/>
        <v>158</v>
      </c>
      <c r="M18" s="50">
        <f t="shared" si="5"/>
        <v>157</v>
      </c>
      <c r="N18" s="25">
        <f t="shared" si="6"/>
        <v>90.125</v>
      </c>
      <c r="O18" s="744">
        <v>2398</v>
      </c>
      <c r="P18" s="49" t="s">
        <v>69</v>
      </c>
      <c r="Q18" s="24" t="s">
        <v>69</v>
      </c>
      <c r="R18" s="23">
        <v>0</v>
      </c>
      <c r="S18" s="25">
        <v>34</v>
      </c>
    </row>
    <row r="19" spans="1:20" x14ac:dyDescent="0.25">
      <c r="A19" s="52" t="s">
        <v>4507</v>
      </c>
      <c r="B19" s="747" t="s">
        <v>4464</v>
      </c>
      <c r="C19" s="55" t="s">
        <v>4417</v>
      </c>
      <c r="D19" s="750" t="s">
        <v>4473</v>
      </c>
      <c r="E19" s="53">
        <v>55.542999999999999</v>
      </c>
      <c r="F19" s="54">
        <v>13.090999999999999</v>
      </c>
      <c r="G19" s="757">
        <v>5395</v>
      </c>
      <c r="H19" s="749">
        <v>60</v>
      </c>
      <c r="I19" s="1064">
        <v>4200</v>
      </c>
      <c r="J19" s="1065">
        <v>4053</v>
      </c>
      <c r="K19" s="1065">
        <v>4347</v>
      </c>
      <c r="L19" s="55">
        <f t="shared" si="4"/>
        <v>147</v>
      </c>
      <c r="M19" s="56">
        <f>K19-I19</f>
        <v>147</v>
      </c>
      <c r="N19" s="22">
        <f>(8718-I19)/32</f>
        <v>141.1875</v>
      </c>
      <c r="O19" s="740">
        <f>2*6371*ASIN(SQRT((SIN(RADIANS(E19-$E$8)/2))^2+((SIN(RADIANS(F19-$F$8)/2))^2)*COS((PI()/180)*E19)*COS((PI()/180)*$E$8)))</f>
        <v>2908.0585618028763</v>
      </c>
      <c r="P19" s="775">
        <v>44</v>
      </c>
      <c r="Q19" s="780">
        <v>39</v>
      </c>
      <c r="R19" s="31" t="s">
        <v>69</v>
      </c>
      <c r="S19" s="691" t="s">
        <v>69</v>
      </c>
    </row>
    <row r="20" spans="1:20" x14ac:dyDescent="0.25">
      <c r="A20" s="52" t="s">
        <v>4508</v>
      </c>
      <c r="B20" s="747" t="s">
        <v>4483</v>
      </c>
      <c r="C20" s="66" t="s">
        <v>4418</v>
      </c>
      <c r="D20" s="771" t="s">
        <v>4482</v>
      </c>
      <c r="E20" s="772">
        <v>42.795000000000002</v>
      </c>
      <c r="F20" s="53">
        <v>20.690999999999999</v>
      </c>
      <c r="G20" s="757">
        <v>7343</v>
      </c>
      <c r="H20" s="749">
        <v>27</v>
      </c>
      <c r="I20" s="1064">
        <v>6185</v>
      </c>
      <c r="J20" s="1065">
        <v>6088</v>
      </c>
      <c r="K20" s="1065">
        <v>6325</v>
      </c>
      <c r="L20" s="55">
        <f t="shared" si="4"/>
        <v>97</v>
      </c>
      <c r="M20" s="56">
        <f>K20-I20</f>
        <v>140</v>
      </c>
      <c r="N20" s="22">
        <f>(8718-I20)/32</f>
        <v>79.15625</v>
      </c>
      <c r="O20" s="740">
        <f>2*6371*ASIN(SQRT((SIN(RADIANS(E20-$E$8)/2))^2+((SIN(RADIANS(F20-$F$8)/2))^2)*COS((PI()/180)*E20)*COS((PI()/180)*$E$8)))</f>
        <v>1701.9983733260001</v>
      </c>
      <c r="P20" s="775">
        <v>15</v>
      </c>
      <c r="Q20" s="780">
        <v>30</v>
      </c>
      <c r="R20" s="31" t="s">
        <v>69</v>
      </c>
      <c r="S20" s="691" t="s">
        <v>69</v>
      </c>
    </row>
    <row r="21" spans="1:20" x14ac:dyDescent="0.25">
      <c r="A21" s="52" t="s">
        <v>4509</v>
      </c>
      <c r="B21" s="747" t="s">
        <v>4478</v>
      </c>
      <c r="C21" s="66" t="s">
        <v>4417</v>
      </c>
      <c r="D21" s="749" t="s">
        <v>4477</v>
      </c>
      <c r="E21" s="53">
        <v>45.95</v>
      </c>
      <c r="F21" s="54">
        <v>23.83</v>
      </c>
      <c r="G21" s="757">
        <v>7131</v>
      </c>
      <c r="H21" s="749">
        <v>34</v>
      </c>
      <c r="I21" s="1064">
        <v>5994</v>
      </c>
      <c r="J21" s="1065">
        <v>5921</v>
      </c>
      <c r="K21" s="1065">
        <v>6067</v>
      </c>
      <c r="L21" s="55">
        <f t="shared" si="4"/>
        <v>73</v>
      </c>
      <c r="M21" s="56">
        <f>K21-I21</f>
        <v>73</v>
      </c>
      <c r="N21" s="22">
        <f>(8718-I21)/32</f>
        <v>85.125</v>
      </c>
      <c r="O21" s="740">
        <f>2*6371*ASIN(SQRT((SIN(RADIANS(E21-$E$8)/2))^2+((SIN(RADIANS(F21-$F$8)/2))^2)*COS((PI()/180)*E21)*COS((PI()/180)*$E$8)))</f>
        <v>1655.0909873653447</v>
      </c>
      <c r="P21" s="775">
        <v>22</v>
      </c>
      <c r="Q21" s="780">
        <v>24</v>
      </c>
      <c r="R21" s="31" t="s">
        <v>69</v>
      </c>
      <c r="S21" s="691" t="s">
        <v>69</v>
      </c>
    </row>
    <row r="22" spans="1:20" x14ac:dyDescent="0.25">
      <c r="A22" s="52" t="s">
        <v>4510</v>
      </c>
      <c r="B22" s="747" t="s">
        <v>4431</v>
      </c>
      <c r="C22" s="66" t="s">
        <v>4418</v>
      </c>
      <c r="D22" s="764" t="s">
        <v>4421</v>
      </c>
      <c r="E22" s="767">
        <v>53.27</v>
      </c>
      <c r="F22" s="774">
        <v>-1.21</v>
      </c>
      <c r="G22" s="757">
        <v>5190</v>
      </c>
      <c r="H22" s="749">
        <v>100</v>
      </c>
      <c r="I22" s="1064">
        <v>4045</v>
      </c>
      <c r="J22" s="1065">
        <v>3771</v>
      </c>
      <c r="K22" s="1065">
        <v>4319</v>
      </c>
      <c r="L22" s="55">
        <f t="shared" ref="L22:L23" si="7">I22-J22</f>
        <v>274</v>
      </c>
      <c r="M22" s="56">
        <f t="shared" ref="M22:M23" si="8">K22-I22</f>
        <v>274</v>
      </c>
      <c r="N22" s="22">
        <f>(8718-I22)/32</f>
        <v>146.03125</v>
      </c>
      <c r="O22" s="740">
        <f t="shared" ref="O22:O23" si="9">2*6371*ASIN(SQRT((SIN(RADIANS(E22-$E$8)/2))^2+((SIN(RADIANS(F22-$F$8)/2))^2)*COS((PI()/180)*E22)*COS((PI()/180)*$E$8)))</f>
        <v>3618.8123290296176</v>
      </c>
      <c r="P22" s="775">
        <v>39</v>
      </c>
      <c r="Q22" s="780">
        <v>62</v>
      </c>
      <c r="R22" s="31" t="s">
        <v>69</v>
      </c>
      <c r="S22" s="691" t="s">
        <v>69</v>
      </c>
    </row>
    <row r="23" spans="1:20" ht="15.75" thickBot="1" x14ac:dyDescent="0.3">
      <c r="A23" s="52" t="s">
        <v>4519</v>
      </c>
      <c r="B23" s="747" t="s">
        <v>4516</v>
      </c>
      <c r="C23" s="66" t="s">
        <v>4517</v>
      </c>
      <c r="D23" s="764" t="s">
        <v>4518</v>
      </c>
      <c r="E23" s="767">
        <v>43.14</v>
      </c>
      <c r="F23" s="768">
        <v>25.9</v>
      </c>
      <c r="G23" s="766">
        <v>7171</v>
      </c>
      <c r="H23" s="749">
        <v>36</v>
      </c>
      <c r="I23" s="1064">
        <v>6005</v>
      </c>
      <c r="J23" s="1065">
        <v>5929</v>
      </c>
      <c r="K23" s="1065">
        <v>6081</v>
      </c>
      <c r="L23" s="55">
        <f t="shared" si="7"/>
        <v>76</v>
      </c>
      <c r="M23" s="56">
        <f t="shared" si="8"/>
        <v>76</v>
      </c>
      <c r="N23" s="22">
        <f>(8718-I23)/32</f>
        <v>84.78125</v>
      </c>
      <c r="O23" s="740">
        <f t="shared" si="9"/>
        <v>1340.5428439111747</v>
      </c>
      <c r="P23" s="786">
        <v>16</v>
      </c>
      <c r="Q23" s="780">
        <v>21</v>
      </c>
      <c r="R23" s="31" t="s">
        <v>69</v>
      </c>
      <c r="S23" s="691" t="s">
        <v>69</v>
      </c>
    </row>
    <row r="24" spans="1:20" s="2" customFormat="1" x14ac:dyDescent="0.25">
      <c r="A24" s="69" t="s">
        <v>4652</v>
      </c>
      <c r="B24" s="75"/>
      <c r="C24" s="69"/>
      <c r="D24" s="69"/>
      <c r="E24" s="72"/>
      <c r="F24" s="72"/>
      <c r="H24" s="73"/>
      <c r="I24" s="74"/>
      <c r="J24" s="69"/>
      <c r="K24" s="69"/>
      <c r="L24" s="69"/>
      <c r="M24" s="69"/>
      <c r="N24" s="73"/>
      <c r="O24" s="73"/>
      <c r="P24" s="68"/>
      <c r="Q24" s="68"/>
      <c r="R24" s="74"/>
      <c r="S24" s="68"/>
    </row>
    <row r="25" spans="1:20" x14ac:dyDescent="0.25">
      <c r="A25" s="1" t="s">
        <v>4435</v>
      </c>
      <c r="S25" s="12"/>
      <c r="T25" s="59"/>
    </row>
    <row r="26" spans="1:20" x14ac:dyDescent="0.25">
      <c r="A26" t="s">
        <v>4430</v>
      </c>
    </row>
    <row r="27" spans="1:20" x14ac:dyDescent="0.25">
      <c r="A27" t="s">
        <v>4488</v>
      </c>
    </row>
    <row r="28" spans="1:20" x14ac:dyDescent="0.25">
      <c r="A28" t="s">
        <v>4441</v>
      </c>
    </row>
    <row r="29" spans="1:20" x14ac:dyDescent="0.25">
      <c r="A29" t="s">
        <v>4442</v>
      </c>
    </row>
    <row r="30" spans="1:20" x14ac:dyDescent="0.25">
      <c r="A30" t="s">
        <v>4443</v>
      </c>
    </row>
    <row r="31" spans="1:20" s="1" customFormat="1" x14ac:dyDescent="0.25">
      <c r="A31" s="63" t="s">
        <v>4491</v>
      </c>
      <c r="N31" s="7"/>
      <c r="P31" s="7"/>
      <c r="Q31" s="7"/>
    </row>
    <row r="32" spans="1:20" s="1" customFormat="1" x14ac:dyDescent="0.25">
      <c r="A32" s="63" t="s">
        <v>4492</v>
      </c>
      <c r="N32" s="7"/>
      <c r="P32" s="7"/>
      <c r="Q32" s="7"/>
    </row>
    <row r="33" spans="1:17" s="1" customFormat="1" x14ac:dyDescent="0.25">
      <c r="A33" s="63" t="s">
        <v>4434</v>
      </c>
      <c r="N33" s="7"/>
      <c r="P33" s="7"/>
      <c r="Q33" s="7"/>
    </row>
    <row r="34" spans="1:17" s="1" customFormat="1" x14ac:dyDescent="0.25">
      <c r="A34" s="63" t="s">
        <v>4493</v>
      </c>
      <c r="N34" s="7"/>
      <c r="P34" s="7"/>
      <c r="Q34" s="7"/>
    </row>
    <row r="35" spans="1:17" s="1" customFormat="1" x14ac:dyDescent="0.25">
      <c r="A35" s="1" t="s">
        <v>4494</v>
      </c>
      <c r="N35" s="7"/>
      <c r="P35" s="7"/>
      <c r="Q35" s="7"/>
    </row>
    <row r="36" spans="1:17" s="1" customFormat="1" x14ac:dyDescent="0.25">
      <c r="A36" s="421" t="s">
        <v>4439</v>
      </c>
      <c r="N36" s="7"/>
      <c r="P36" s="7"/>
      <c r="Q36" s="7"/>
    </row>
    <row r="37" spans="1:17" s="1" customFormat="1" x14ac:dyDescent="0.25">
      <c r="A37" s="1" t="s">
        <v>4436</v>
      </c>
      <c r="N37" s="7"/>
      <c r="P37" s="7"/>
      <c r="Q37" s="7"/>
    </row>
    <row r="38" spans="1:17" s="1" customFormat="1" x14ac:dyDescent="0.25">
      <c r="A38" s="1" t="s">
        <v>4437</v>
      </c>
      <c r="N38" s="7"/>
      <c r="P38" s="7"/>
      <c r="Q38" s="7"/>
    </row>
    <row r="39" spans="1:17" s="1" customFormat="1" x14ac:dyDescent="0.25">
      <c r="A39" s="1" t="s">
        <v>4438</v>
      </c>
      <c r="N39" s="7"/>
      <c r="P39" s="7"/>
      <c r="Q39" s="7"/>
    </row>
    <row r="40" spans="1:17" x14ac:dyDescent="0.25">
      <c r="A40" t="s">
        <v>4451</v>
      </c>
    </row>
    <row r="41" spans="1:17" x14ac:dyDescent="0.25">
      <c r="A41" t="s">
        <v>4485</v>
      </c>
    </row>
    <row r="42" spans="1:17" s="2" customFormat="1" x14ac:dyDescent="0.25">
      <c r="A42" s="762" t="s">
        <v>4463</v>
      </c>
      <c r="N42" s="17"/>
      <c r="P42" s="17"/>
      <c r="Q42" s="17"/>
    </row>
    <row r="43" spans="1:17" s="2" customFormat="1" x14ac:dyDescent="0.25">
      <c r="A43" s="762" t="s">
        <v>4497</v>
      </c>
      <c r="N43" s="17"/>
      <c r="P43" s="17"/>
      <c r="Q43" s="17"/>
    </row>
    <row r="44" spans="1:17" s="2" customFormat="1" x14ac:dyDescent="0.25">
      <c r="A44" s="762" t="s">
        <v>4452</v>
      </c>
      <c r="N44" s="17"/>
      <c r="P44" s="17"/>
      <c r="Q44" s="17"/>
    </row>
    <row r="45" spans="1:17" s="2" customFormat="1" x14ac:dyDescent="0.25">
      <c r="A45" s="762" t="s">
        <v>4455</v>
      </c>
      <c r="N45" s="17"/>
      <c r="P45" s="17"/>
      <c r="Q45" s="17"/>
    </row>
    <row r="46" spans="1:17" s="2" customFormat="1" x14ac:dyDescent="0.25">
      <c r="A46" s="762" t="s">
        <v>4499</v>
      </c>
      <c r="N46" s="17"/>
      <c r="P46" s="17"/>
      <c r="Q46" s="17"/>
    </row>
    <row r="47" spans="1:17" s="2" customFormat="1" x14ac:dyDescent="0.25">
      <c r="A47" s="762" t="s">
        <v>4500</v>
      </c>
      <c r="N47" s="17"/>
      <c r="P47" s="17"/>
      <c r="Q47" s="17"/>
    </row>
    <row r="48" spans="1:17" s="2" customFormat="1" x14ac:dyDescent="0.25">
      <c r="A48" s="2" t="s">
        <v>4460</v>
      </c>
      <c r="N48" s="17"/>
      <c r="P48" s="17"/>
      <c r="Q48" s="17"/>
    </row>
    <row r="49" spans="1:17" s="2" customFormat="1" x14ac:dyDescent="0.25">
      <c r="A49" s="186" t="s">
        <v>4462</v>
      </c>
      <c r="N49" s="17"/>
      <c r="P49" s="17"/>
      <c r="Q49" s="17"/>
    </row>
    <row r="50" spans="1:17" s="2" customFormat="1" x14ac:dyDescent="0.25">
      <c r="A50" s="186" t="s">
        <v>4461</v>
      </c>
      <c r="N50" s="17"/>
      <c r="P50" s="17"/>
      <c r="Q50" s="17"/>
    </row>
    <row r="51" spans="1:17" s="2" customFormat="1" x14ac:dyDescent="0.25">
      <c r="A51" s="762" t="s">
        <v>4506</v>
      </c>
      <c r="N51" s="17"/>
      <c r="P51" s="17"/>
      <c r="Q51" s="17"/>
    </row>
    <row r="52" spans="1:17" s="2" customFormat="1" x14ac:dyDescent="0.25">
      <c r="A52" s="2" t="s">
        <v>4502</v>
      </c>
      <c r="N52" s="17"/>
      <c r="P52" s="17"/>
      <c r="Q52" s="17"/>
    </row>
    <row r="53" spans="1:17" s="2" customFormat="1" x14ac:dyDescent="0.25">
      <c r="A53" s="2" t="s">
        <v>4503</v>
      </c>
      <c r="N53" s="17"/>
      <c r="P53" s="17"/>
      <c r="Q53" s="17"/>
    </row>
    <row r="54" spans="1:17" s="2" customFormat="1" x14ac:dyDescent="0.25">
      <c r="A54" s="186" t="s">
        <v>4512</v>
      </c>
      <c r="N54" s="17"/>
      <c r="P54" s="17"/>
      <c r="Q54" s="17"/>
    </row>
    <row r="55" spans="1:17" s="2" customFormat="1" x14ac:dyDescent="0.25">
      <c r="A55" s="762" t="s">
        <v>4504</v>
      </c>
      <c r="N55" s="17"/>
      <c r="P55" s="17"/>
      <c r="Q55" s="17"/>
    </row>
    <row r="56" spans="1:17" s="2" customFormat="1" x14ac:dyDescent="0.25">
      <c r="A56" s="762" t="s">
        <v>4479</v>
      </c>
      <c r="N56" s="17"/>
      <c r="P56" s="17"/>
      <c r="Q56" s="17"/>
    </row>
    <row r="57" spans="1:17" s="2" customFormat="1" x14ac:dyDescent="0.25">
      <c r="A57" s="762" t="s">
        <v>4513</v>
      </c>
      <c r="N57" s="17"/>
      <c r="P57" s="17"/>
      <c r="Q57" s="17"/>
    </row>
    <row r="58" spans="1:17" s="2" customFormat="1" x14ac:dyDescent="0.25">
      <c r="A58" s="762" t="s">
        <v>4505</v>
      </c>
      <c r="N58" s="17"/>
      <c r="P58" s="17"/>
      <c r="Q58" s="17"/>
    </row>
    <row r="59" spans="1:17" x14ac:dyDescent="0.25">
      <c r="A59" s="42" t="s">
        <v>4520</v>
      </c>
    </row>
    <row r="60" spans="1:17" x14ac:dyDescent="0.25">
      <c r="A60" s="15" t="s">
        <v>4651</v>
      </c>
    </row>
    <row r="61" spans="1:17" x14ac:dyDescent="0.25">
      <c r="A61" t="s">
        <v>4470</v>
      </c>
    </row>
    <row r="62" spans="1:17" x14ac:dyDescent="0.25">
      <c r="A62" t="s">
        <v>4498</v>
      </c>
    </row>
    <row r="63" spans="1:17" x14ac:dyDescent="0.25">
      <c r="A63" s="59" t="s">
        <v>4454</v>
      </c>
    </row>
    <row r="64" spans="1:17" x14ac:dyDescent="0.25">
      <c r="A64" s="761"/>
    </row>
    <row r="65" spans="1:1" x14ac:dyDescent="0.25">
      <c r="A65" s="760"/>
    </row>
  </sheetData>
  <sortState ref="A4:J14">
    <sortCondition ref="A4:A14"/>
  </sortState>
  <mergeCells count="17">
    <mergeCell ref="D6:D7"/>
    <mergeCell ref="S6:S7"/>
    <mergeCell ref="P6:P7"/>
    <mergeCell ref="Q6:Q7"/>
    <mergeCell ref="R6:R7"/>
    <mergeCell ref="A6:A7"/>
    <mergeCell ref="O6:O7"/>
    <mergeCell ref="I6:I7"/>
    <mergeCell ref="N6:N7"/>
    <mergeCell ref="B6:B7"/>
    <mergeCell ref="E6:E7"/>
    <mergeCell ref="F6:F7"/>
    <mergeCell ref="K6:K7"/>
    <mergeCell ref="M6:M7"/>
    <mergeCell ref="J6:J7"/>
    <mergeCell ref="L6:L7"/>
    <mergeCell ref="C6:C7"/>
  </mergeCells>
  <pageMargins left="0.43307086614173229" right="0.31496062992125984" top="0.35433070866141736" bottom="0.35433070866141736" header="0" footer="0"/>
  <pageSetup paperSize="9" scale="54" orientation="landscape" r:id="rId1"/>
  <ignoredErrors>
    <ignoredError sqref="G9:H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6"/>
  <sheetViews>
    <sheetView topLeftCell="A7" zoomScaleNormal="100" workbookViewId="0">
      <selection activeCell="E29" sqref="E29"/>
    </sheetView>
  </sheetViews>
  <sheetFormatPr baseColWidth="10" defaultRowHeight="15" x14ac:dyDescent="0.25"/>
  <cols>
    <col min="1" max="1" width="32.5703125" customWidth="1"/>
    <col min="2" max="2" width="7.42578125" style="5" customWidth="1"/>
    <col min="3" max="3" width="6.5703125" style="5" customWidth="1"/>
    <col min="4" max="4" width="10.42578125" customWidth="1"/>
    <col min="5" max="5" width="14.42578125" customWidth="1"/>
    <col min="6" max="6" width="14" customWidth="1"/>
    <col min="7" max="7" width="13.28515625" customWidth="1"/>
    <col min="8" max="8" width="14.7109375" customWidth="1"/>
    <col min="9" max="9" width="10" customWidth="1"/>
    <col min="10" max="10" width="10.28515625" customWidth="1"/>
    <col min="11" max="11" width="10.42578125" customWidth="1"/>
    <col min="12" max="12" width="10.28515625" customWidth="1"/>
    <col min="13" max="13" width="10.5703125" customWidth="1"/>
    <col min="14" max="14" width="10.42578125" customWidth="1"/>
    <col min="15" max="15" width="10.5703125" customWidth="1"/>
    <col min="16" max="16" width="10.42578125" customWidth="1"/>
    <col min="17" max="17" width="10.5703125" customWidth="1"/>
    <col min="18" max="18" width="10" customWidth="1"/>
  </cols>
  <sheetData>
    <row r="1" spans="1:19" ht="31.5" x14ac:dyDescent="0.5">
      <c r="F1" s="1072" t="s">
        <v>4699</v>
      </c>
    </row>
    <row r="4" spans="1:19" ht="18.75" x14ac:dyDescent="0.3">
      <c r="A4" s="35" t="s">
        <v>4679</v>
      </c>
      <c r="B4"/>
      <c r="C4"/>
      <c r="G4" s="5"/>
      <c r="H4" s="5"/>
      <c r="I4" s="5"/>
      <c r="N4" s="28"/>
      <c r="O4" s="2"/>
      <c r="P4" s="2"/>
      <c r="Q4" s="27"/>
      <c r="R4" s="2"/>
      <c r="S4" s="29"/>
    </row>
    <row r="5" spans="1:19" ht="18.75" x14ac:dyDescent="0.3">
      <c r="A5" s="35"/>
      <c r="B5"/>
      <c r="C5"/>
      <c r="G5" s="5"/>
      <c r="H5" s="5"/>
      <c r="I5" s="5"/>
      <c r="N5" s="29"/>
      <c r="O5" s="2"/>
      <c r="P5" s="2"/>
      <c r="Q5" s="27"/>
      <c r="R5" s="2"/>
      <c r="S5" s="29"/>
    </row>
    <row r="6" spans="1:19" ht="15.75" x14ac:dyDescent="0.25">
      <c r="A6" s="36" t="s">
        <v>4393</v>
      </c>
      <c r="B6" s="36" t="s">
        <v>4394</v>
      </c>
      <c r="C6" s="36" t="s">
        <v>547</v>
      </c>
      <c r="D6" s="36" t="s">
        <v>4395</v>
      </c>
      <c r="E6" s="36" t="s">
        <v>4396</v>
      </c>
      <c r="F6" s="36" t="s">
        <v>2</v>
      </c>
      <c r="G6" s="36" t="s">
        <v>345</v>
      </c>
      <c r="H6" s="36" t="s">
        <v>18</v>
      </c>
      <c r="I6" s="36" t="s">
        <v>80</v>
      </c>
      <c r="J6" s="36" t="s">
        <v>34</v>
      </c>
      <c r="K6" s="36" t="s">
        <v>43</v>
      </c>
      <c r="L6" s="36" t="s">
        <v>4397</v>
      </c>
      <c r="M6" s="36" t="s">
        <v>14</v>
      </c>
      <c r="N6" s="776" t="s">
        <v>170</v>
      </c>
      <c r="O6" s="776" t="s">
        <v>4398</v>
      </c>
      <c r="P6" s="776" t="s">
        <v>4399</v>
      </c>
      <c r="Q6" s="777" t="s">
        <v>4400</v>
      </c>
      <c r="R6" s="776" t="s">
        <v>1314</v>
      </c>
      <c r="S6" s="29"/>
    </row>
    <row r="7" spans="1:19" ht="15.75" thickBot="1" x14ac:dyDescent="0.3">
      <c r="F7" s="1087" t="s">
        <v>4404</v>
      </c>
      <c r="G7" s="1087"/>
      <c r="H7" s="1087" t="s">
        <v>4404</v>
      </c>
      <c r="I7" s="1087"/>
      <c r="J7" s="1087" t="s">
        <v>4404</v>
      </c>
      <c r="K7" s="1087"/>
      <c r="L7" s="1087" t="s">
        <v>4404</v>
      </c>
      <c r="M7" s="1087"/>
      <c r="N7" s="1091" t="s">
        <v>4405</v>
      </c>
      <c r="O7" s="1091"/>
      <c r="P7" s="1088" t="s">
        <v>4405</v>
      </c>
      <c r="Q7" s="1088"/>
    </row>
    <row r="8" spans="1:19" ht="17.25" customHeight="1" x14ac:dyDescent="0.25">
      <c r="A8" s="1130" t="s">
        <v>4522</v>
      </c>
      <c r="B8" s="1128" t="s">
        <v>4515</v>
      </c>
      <c r="C8" s="1128" t="s">
        <v>2323</v>
      </c>
      <c r="D8" s="1108" t="s">
        <v>4469</v>
      </c>
      <c r="E8" s="1075" t="s">
        <v>4413</v>
      </c>
      <c r="F8" s="1085" t="s">
        <v>4409</v>
      </c>
      <c r="G8" s="1085" t="s">
        <v>4256</v>
      </c>
      <c r="H8" s="1085" t="s">
        <v>4255</v>
      </c>
      <c r="I8" s="1085" t="s">
        <v>4257</v>
      </c>
      <c r="J8" s="1085" t="s">
        <v>4487</v>
      </c>
      <c r="K8" s="1085" t="s">
        <v>4486</v>
      </c>
      <c r="L8" s="1085" t="s">
        <v>4273</v>
      </c>
      <c r="M8" s="1085" t="s">
        <v>4274</v>
      </c>
      <c r="N8" s="1089" t="s">
        <v>4269</v>
      </c>
      <c r="O8" s="1089" t="s">
        <v>4270</v>
      </c>
      <c r="P8" s="1089" t="s">
        <v>4271</v>
      </c>
      <c r="Q8" s="1089" t="s">
        <v>4272</v>
      </c>
      <c r="R8" s="1075" t="s">
        <v>4254</v>
      </c>
    </row>
    <row r="9" spans="1:19" ht="69.75" customHeight="1" thickBot="1" x14ac:dyDescent="0.3">
      <c r="A9" s="1131"/>
      <c r="B9" s="1129"/>
      <c r="C9" s="1129"/>
      <c r="D9" s="1109"/>
      <c r="E9" s="1076"/>
      <c r="F9" s="1086"/>
      <c r="G9" s="1086"/>
      <c r="H9" s="1086"/>
      <c r="I9" s="1086"/>
      <c r="J9" s="1086"/>
      <c r="K9" s="1086"/>
      <c r="L9" s="1086"/>
      <c r="M9" s="1086"/>
      <c r="N9" s="1090"/>
      <c r="O9" s="1090"/>
      <c r="P9" s="1090"/>
      <c r="Q9" s="1090"/>
      <c r="R9" s="1076"/>
    </row>
    <row r="10" spans="1:19" x14ac:dyDescent="0.25">
      <c r="A10" s="845" t="s">
        <v>4514</v>
      </c>
      <c r="B10" s="65">
        <v>35.869999999999997</v>
      </c>
      <c r="C10" s="65">
        <v>38.4</v>
      </c>
      <c r="D10" s="857">
        <f>2*6371*ASIN(SQRT((SIN(RADIANS(B10-35.87)/2))^2+((SIN(RADIANS(C10-38.4)/2))^2)*COS(RADIANS(B10))*COS(RADIANS(35.87))))</f>
        <v>0</v>
      </c>
      <c r="E10" s="437" t="s">
        <v>959</v>
      </c>
      <c r="F10" s="858">
        <f>6371*(RADIANS(B10)-RADIANS(35.87))</f>
        <v>0</v>
      </c>
      <c r="G10" s="858">
        <f>6371*(RADIANS(38.4)-RADIANS(C10))*COS(RADIANS(B10))</f>
        <v>0</v>
      </c>
      <c r="H10" s="858">
        <f>6371*(RADIANS(38.4)-RADIANS(C10))*COS(RADIANS(35.87))</f>
        <v>0</v>
      </c>
      <c r="I10" s="858">
        <f>(G10+H10)/2</f>
        <v>0</v>
      </c>
      <c r="J10" s="859">
        <f>(F10/50)</f>
        <v>0</v>
      </c>
      <c r="K10" s="859">
        <f>I10/50</f>
        <v>0</v>
      </c>
      <c r="L10" s="858">
        <v>0</v>
      </c>
      <c r="M10" s="858">
        <v>0</v>
      </c>
      <c r="N10" s="714" t="s">
        <v>69</v>
      </c>
      <c r="O10" s="714" t="s">
        <v>69</v>
      </c>
      <c r="P10" s="714" t="s">
        <v>69</v>
      </c>
      <c r="Q10" s="714" t="s">
        <v>69</v>
      </c>
      <c r="R10" s="860">
        <f>SQRT((L10*50)^2+(M10*50)^2)</f>
        <v>0</v>
      </c>
    </row>
    <row r="11" spans="1:19" x14ac:dyDescent="0.25">
      <c r="A11" s="52" t="s">
        <v>4440</v>
      </c>
      <c r="B11" s="60">
        <v>37.75</v>
      </c>
      <c r="C11" s="60">
        <v>32.86</v>
      </c>
      <c r="D11" s="775">
        <f>2*6371*ASIN(SQRT((SIN(RADIANS(B11-35.87)/2))^2+((SIN(RADIANS(C11-38.4)/2))^2)*COS(RADIANS(B11))*COS(RADIANS(35.87))))</f>
        <v>535.55775496338072</v>
      </c>
      <c r="E11" s="22" t="s">
        <v>959</v>
      </c>
      <c r="F11" s="780">
        <f t="shared" ref="F11:F13" si="0">6371*(RADIANS(B11)-RADIANS(35.87))</f>
        <v>209.04646209177085</v>
      </c>
      <c r="G11" s="780">
        <f t="shared" ref="G11:G13" si="1">6371*(RADIANS(38.4)-RADIANS(C11))*COS(RADIANS(B11))</f>
        <v>487.08050709689485</v>
      </c>
      <c r="H11" s="780">
        <f t="shared" ref="H11:H13" si="2">6371*(RADIANS(38.4)-RADIANS(C11))*COS(RADIANS(35.87))</f>
        <v>499.19082955525835</v>
      </c>
      <c r="I11" s="780">
        <f t="shared" ref="I11:I13" si="3">(G11+H11)/2</f>
        <v>493.1356683260766</v>
      </c>
      <c r="J11" s="784">
        <f>(F11/50)</f>
        <v>4.1809292418354174</v>
      </c>
      <c r="K11" s="784">
        <f>I11/50</f>
        <v>9.8627133665215325</v>
      </c>
      <c r="L11" s="780">
        <v>4</v>
      </c>
      <c r="M11" s="780">
        <v>10</v>
      </c>
      <c r="N11" s="31" t="s">
        <v>69</v>
      </c>
      <c r="O11" s="31" t="s">
        <v>69</v>
      </c>
      <c r="P11" s="31" t="s">
        <v>69</v>
      </c>
      <c r="Q11" s="31" t="s">
        <v>69</v>
      </c>
      <c r="R11" s="778">
        <f>SQRT((L11*50)^2+(M11*50)^2)</f>
        <v>538.51648071345039</v>
      </c>
    </row>
    <row r="12" spans="1:19" x14ac:dyDescent="0.25">
      <c r="A12" s="52" t="s">
        <v>4446</v>
      </c>
      <c r="B12" s="763">
        <v>49.9</v>
      </c>
      <c r="C12" s="788">
        <v>10.08333</v>
      </c>
      <c r="D12" s="775">
        <f t="shared" ref="D12:D23" si="4">2*6371*ASIN(SQRT((SIN(RADIANS(B12-35.87)/2))^2+((SIN(RADIANS(C12-38.4)/2))^2)*COS(RADIANS(B12))*COS(RADIANS(35.87))))</f>
        <v>2758.6542101874588</v>
      </c>
      <c r="E12" s="22" t="s">
        <v>959</v>
      </c>
      <c r="F12" s="780">
        <f t="shared" si="0"/>
        <v>1560.0648208231596</v>
      </c>
      <c r="G12" s="780">
        <f t="shared" si="1"/>
        <v>2028.1327773196645</v>
      </c>
      <c r="H12" s="780">
        <f t="shared" si="2"/>
        <v>2551.5202143578517</v>
      </c>
      <c r="I12" s="780">
        <f t="shared" ref="I12" si="5">(G12+H12)/2</f>
        <v>2289.8264958387581</v>
      </c>
      <c r="J12" s="784">
        <f>(F12/50)</f>
        <v>31.201296416463194</v>
      </c>
      <c r="K12" s="784">
        <f>I12/50</f>
        <v>45.796529916775164</v>
      </c>
      <c r="L12" s="780">
        <v>31</v>
      </c>
      <c r="M12" s="780">
        <v>46</v>
      </c>
      <c r="N12" s="31" t="s">
        <v>69</v>
      </c>
      <c r="O12" s="31" t="s">
        <v>69</v>
      </c>
      <c r="P12" s="31" t="s">
        <v>69</v>
      </c>
      <c r="Q12" s="31" t="s">
        <v>69</v>
      </c>
      <c r="R12" s="778">
        <f>SQRT((L12*50)^2+(M12*50)^2)</f>
        <v>2773.5356496717327</v>
      </c>
    </row>
    <row r="13" spans="1:19" x14ac:dyDescent="0.25">
      <c r="A13" s="52" t="s">
        <v>4447</v>
      </c>
      <c r="B13" s="60">
        <v>48.755629999999996</v>
      </c>
      <c r="C13" s="60">
        <v>7.5995799999999996</v>
      </c>
      <c r="D13" s="775">
        <f t="shared" si="4"/>
        <v>2881.2887465296126</v>
      </c>
      <c r="E13" s="22" t="s">
        <v>959</v>
      </c>
      <c r="F13" s="780">
        <f t="shared" si="0"/>
        <v>1432.8166826189258</v>
      </c>
      <c r="G13" s="780">
        <f t="shared" si="1"/>
        <v>2257.9077769779747</v>
      </c>
      <c r="H13" s="780">
        <f t="shared" si="2"/>
        <v>2775.3226011643274</v>
      </c>
      <c r="I13" s="780">
        <f t="shared" si="3"/>
        <v>2516.6151890711508</v>
      </c>
      <c r="J13" s="784">
        <f>(F13/50)</f>
        <v>28.656333652378517</v>
      </c>
      <c r="K13" s="784">
        <f>I13/50</f>
        <v>50.332303781423015</v>
      </c>
      <c r="L13" s="780">
        <v>29</v>
      </c>
      <c r="M13" s="780">
        <v>50</v>
      </c>
      <c r="N13" s="31" t="s">
        <v>69</v>
      </c>
      <c r="O13" s="31" t="s">
        <v>69</v>
      </c>
      <c r="P13" s="31" t="s">
        <v>69</v>
      </c>
      <c r="Q13" s="31" t="s">
        <v>69</v>
      </c>
      <c r="R13" s="778">
        <f>SQRT((L13*50)^2+(M13*50)^2)</f>
        <v>2890.0692033236851</v>
      </c>
    </row>
    <row r="14" spans="1:19" x14ac:dyDescent="0.25">
      <c r="A14" s="52" t="s">
        <v>4449</v>
      </c>
      <c r="B14" s="767">
        <v>50.683</v>
      </c>
      <c r="C14" s="768">
        <v>5.2</v>
      </c>
      <c r="D14" s="775">
        <f t="shared" si="4"/>
        <v>3113.3871824501307</v>
      </c>
      <c r="E14" s="22" t="s">
        <v>959</v>
      </c>
      <c r="F14" s="780">
        <f>6371*(RADIANS(B14)-RADIANS(35.87))</f>
        <v>1647.1304483858491</v>
      </c>
      <c r="G14" s="780">
        <f>6371*(RADIANS(38.4)-RADIANS(C14))*COS(RADIANS(B14))</f>
        <v>2339.0816730167185</v>
      </c>
      <c r="H14" s="780">
        <f>6371*(RADIANS(38.4)-RADIANS(C14))*COS(RADIANS(35.87))</f>
        <v>2991.540711414184</v>
      </c>
      <c r="I14" s="780">
        <f>(G14+H14)/2</f>
        <v>2665.3111922154512</v>
      </c>
      <c r="J14" s="784">
        <f>(F14/50)</f>
        <v>32.942608967716986</v>
      </c>
      <c r="K14" s="784">
        <f>I14/50</f>
        <v>53.306223844309024</v>
      </c>
      <c r="L14" s="780">
        <v>33</v>
      </c>
      <c r="M14" s="780">
        <v>53</v>
      </c>
      <c r="N14" s="31" t="s">
        <v>69</v>
      </c>
      <c r="O14" s="31" t="s">
        <v>69</v>
      </c>
      <c r="P14" s="31" t="s">
        <v>69</v>
      </c>
      <c r="Q14" s="31" t="s">
        <v>69</v>
      </c>
      <c r="R14" s="778">
        <f t="shared" ref="R14" si="6">SQRT((L14*50)^2+(M14*50)^2)</f>
        <v>3121.6982557575934</v>
      </c>
    </row>
    <row r="15" spans="1:19" x14ac:dyDescent="0.25">
      <c r="A15" s="46" t="s">
        <v>4453</v>
      </c>
      <c r="B15" s="697">
        <v>34.829000000000001</v>
      </c>
      <c r="C15" s="782">
        <v>32.390999999999998</v>
      </c>
      <c r="D15" s="744">
        <v>685</v>
      </c>
      <c r="E15" s="698" t="s">
        <v>960</v>
      </c>
      <c r="F15" s="781" t="s">
        <v>69</v>
      </c>
      <c r="G15" s="744" t="s">
        <v>69</v>
      </c>
      <c r="H15" s="744" t="s">
        <v>69</v>
      </c>
      <c r="I15" s="744" t="s">
        <v>69</v>
      </c>
      <c r="J15" s="785" t="s">
        <v>69</v>
      </c>
      <c r="K15" s="785" t="s">
        <v>69</v>
      </c>
      <c r="L15" s="744" t="s">
        <v>69</v>
      </c>
      <c r="M15" s="744" t="s">
        <v>69</v>
      </c>
      <c r="N15" s="690">
        <v>0</v>
      </c>
      <c r="O15" s="692">
        <f t="shared" ref="O15:O20" si="7">D15/70</f>
        <v>9.7857142857142865</v>
      </c>
      <c r="P15" s="690">
        <v>0</v>
      </c>
      <c r="Q15" s="690">
        <v>10</v>
      </c>
      <c r="R15" s="779">
        <f>Q15*70</f>
        <v>700</v>
      </c>
    </row>
    <row r="16" spans="1:19" x14ac:dyDescent="0.25">
      <c r="A16" s="46" t="s">
        <v>4458</v>
      </c>
      <c r="B16" s="783">
        <v>43.29</v>
      </c>
      <c r="C16" s="432">
        <v>3.36</v>
      </c>
      <c r="D16" s="744">
        <v>4193</v>
      </c>
      <c r="E16" s="25" t="s">
        <v>960</v>
      </c>
      <c r="F16" s="744" t="s">
        <v>69</v>
      </c>
      <c r="G16" s="744" t="s">
        <v>69</v>
      </c>
      <c r="H16" s="744" t="s">
        <v>69</v>
      </c>
      <c r="I16" s="744" t="s">
        <v>69</v>
      </c>
      <c r="J16" s="785" t="s">
        <v>69</v>
      </c>
      <c r="K16" s="785" t="s">
        <v>69</v>
      </c>
      <c r="L16" s="744" t="s">
        <v>69</v>
      </c>
      <c r="M16" s="744" t="s">
        <v>69</v>
      </c>
      <c r="N16" s="23">
        <v>0</v>
      </c>
      <c r="O16" s="30">
        <f t="shared" si="7"/>
        <v>59.9</v>
      </c>
      <c r="P16" s="23">
        <v>0</v>
      </c>
      <c r="Q16" s="23">
        <v>60</v>
      </c>
      <c r="R16" s="779">
        <f>Q16*70</f>
        <v>4200</v>
      </c>
    </row>
    <row r="17" spans="1:18" x14ac:dyDescent="0.25">
      <c r="A17" s="46" t="s">
        <v>4471</v>
      </c>
      <c r="B17" s="783">
        <v>41.383400000000002</v>
      </c>
      <c r="C17" s="432">
        <v>1.617</v>
      </c>
      <c r="D17" s="744">
        <v>4560</v>
      </c>
      <c r="E17" s="25" t="s">
        <v>960</v>
      </c>
      <c r="F17" s="744" t="s">
        <v>69</v>
      </c>
      <c r="G17" s="744" t="s">
        <v>69</v>
      </c>
      <c r="H17" s="744" t="s">
        <v>69</v>
      </c>
      <c r="I17" s="744" t="s">
        <v>69</v>
      </c>
      <c r="J17" s="785" t="s">
        <v>69</v>
      </c>
      <c r="K17" s="785" t="s">
        <v>69</v>
      </c>
      <c r="L17" s="744" t="s">
        <v>69</v>
      </c>
      <c r="M17" s="744" t="s">
        <v>69</v>
      </c>
      <c r="N17" s="23">
        <v>0</v>
      </c>
      <c r="O17" s="30">
        <f t="shared" si="7"/>
        <v>65.142857142857139</v>
      </c>
      <c r="P17" s="23">
        <v>0</v>
      </c>
      <c r="Q17" s="23">
        <v>65</v>
      </c>
      <c r="R17" s="779">
        <f t="shared" ref="R17:R19" si="8">Q17*70</f>
        <v>4550</v>
      </c>
    </row>
    <row r="18" spans="1:18" x14ac:dyDescent="0.25">
      <c r="A18" s="46" t="s">
        <v>4459</v>
      </c>
      <c r="B18" s="783">
        <v>42.55</v>
      </c>
      <c r="C18" s="432">
        <v>-2.1800000000000002</v>
      </c>
      <c r="D18" s="744">
        <v>4819</v>
      </c>
      <c r="E18" s="25" t="s">
        <v>960</v>
      </c>
      <c r="F18" s="744" t="s">
        <v>69</v>
      </c>
      <c r="G18" s="744" t="s">
        <v>69</v>
      </c>
      <c r="H18" s="744" t="s">
        <v>69</v>
      </c>
      <c r="I18" s="744" t="s">
        <v>69</v>
      </c>
      <c r="J18" s="785" t="s">
        <v>69</v>
      </c>
      <c r="K18" s="785" t="s">
        <v>69</v>
      </c>
      <c r="L18" s="744" t="s">
        <v>69</v>
      </c>
      <c r="M18" s="744" t="s">
        <v>69</v>
      </c>
      <c r="N18" s="23">
        <v>0</v>
      </c>
      <c r="O18" s="30">
        <f t="shared" si="7"/>
        <v>68.842857142857142</v>
      </c>
      <c r="P18" s="23">
        <v>0</v>
      </c>
      <c r="Q18" s="23">
        <v>69</v>
      </c>
      <c r="R18" s="779">
        <f t="shared" si="8"/>
        <v>4830</v>
      </c>
    </row>
    <row r="19" spans="1:18" x14ac:dyDescent="0.25">
      <c r="A19" s="46" t="s">
        <v>4472</v>
      </c>
      <c r="B19" s="783">
        <v>38.85</v>
      </c>
      <c r="C19" s="432">
        <v>-9.34</v>
      </c>
      <c r="D19" s="744">
        <v>6117</v>
      </c>
      <c r="E19" s="25" t="s">
        <v>960</v>
      </c>
      <c r="F19" s="744" t="s">
        <v>69</v>
      </c>
      <c r="G19" s="744" t="s">
        <v>69</v>
      </c>
      <c r="H19" s="744" t="s">
        <v>69</v>
      </c>
      <c r="I19" s="744" t="s">
        <v>69</v>
      </c>
      <c r="J19" s="785" t="s">
        <v>69</v>
      </c>
      <c r="K19" s="785" t="s">
        <v>69</v>
      </c>
      <c r="L19" s="744" t="s">
        <v>69</v>
      </c>
      <c r="M19" s="744" t="s">
        <v>69</v>
      </c>
      <c r="N19" s="23">
        <v>0</v>
      </c>
      <c r="O19" s="30">
        <f t="shared" si="7"/>
        <v>87.385714285714286</v>
      </c>
      <c r="P19" s="23">
        <v>0</v>
      </c>
      <c r="Q19" s="23">
        <v>87</v>
      </c>
      <c r="R19" s="779">
        <f t="shared" si="8"/>
        <v>6090</v>
      </c>
    </row>
    <row r="20" spans="1:18" x14ac:dyDescent="0.25">
      <c r="A20" s="46" t="s">
        <v>4466</v>
      </c>
      <c r="B20" s="769">
        <v>39.666699999999999</v>
      </c>
      <c r="C20" s="770">
        <v>16.433330000000002</v>
      </c>
      <c r="D20" s="744">
        <v>2398</v>
      </c>
      <c r="E20" s="25" t="s">
        <v>960</v>
      </c>
      <c r="F20" s="744" t="s">
        <v>69</v>
      </c>
      <c r="G20" s="744" t="s">
        <v>69</v>
      </c>
      <c r="H20" s="744" t="s">
        <v>69</v>
      </c>
      <c r="I20" s="744" t="s">
        <v>69</v>
      </c>
      <c r="J20" s="785" t="s">
        <v>69</v>
      </c>
      <c r="K20" s="785" t="s">
        <v>69</v>
      </c>
      <c r="L20" s="744" t="s">
        <v>69</v>
      </c>
      <c r="M20" s="744" t="s">
        <v>69</v>
      </c>
      <c r="N20" s="23">
        <v>0</v>
      </c>
      <c r="O20" s="30">
        <f t="shared" si="7"/>
        <v>34.25714285714286</v>
      </c>
      <c r="P20" s="23">
        <v>0</v>
      </c>
      <c r="Q20" s="23">
        <v>34</v>
      </c>
      <c r="R20" s="779">
        <f>Q20*70</f>
        <v>2380</v>
      </c>
    </row>
    <row r="21" spans="1:18" x14ac:dyDescent="0.25">
      <c r="A21" s="52" t="s">
        <v>4474</v>
      </c>
      <c r="B21" s="53">
        <v>55.542999999999999</v>
      </c>
      <c r="C21" s="54">
        <v>13.090999999999999</v>
      </c>
      <c r="D21" s="775">
        <f t="shared" si="4"/>
        <v>2908.0585618028763</v>
      </c>
      <c r="E21" s="22" t="s">
        <v>959</v>
      </c>
      <c r="F21" s="780">
        <f>6371*(RADIANS(B21)-RADIANS(35.87))</f>
        <v>2187.5377918784043</v>
      </c>
      <c r="G21" s="780">
        <f>6371*(RADIANS(38.4)-RADIANS(C21))*COS(RADIANS(B21))</f>
        <v>1592.2577318253116</v>
      </c>
      <c r="H21" s="780">
        <f>6371*(RADIANS(38.4)-RADIANS(C21))*COS(RADIANS(35.87))</f>
        <v>2280.5091525657103</v>
      </c>
      <c r="I21" s="780">
        <f>(G21+H21)/2</f>
        <v>1936.383442195511</v>
      </c>
      <c r="J21" s="784">
        <f>(F21/50)</f>
        <v>43.750755837568086</v>
      </c>
      <c r="K21" s="784">
        <f>I21/50</f>
        <v>38.727668843910216</v>
      </c>
      <c r="L21" s="780">
        <v>44</v>
      </c>
      <c r="M21" s="780">
        <v>39</v>
      </c>
      <c r="N21" s="31" t="s">
        <v>69</v>
      </c>
      <c r="O21" s="31" t="s">
        <v>69</v>
      </c>
      <c r="P21" s="31" t="s">
        <v>69</v>
      </c>
      <c r="Q21" s="31" t="s">
        <v>69</v>
      </c>
      <c r="R21" s="778">
        <f>SQRT((L21*50)^2+(M21*50)^2)</f>
        <v>2939.8129192178199</v>
      </c>
    </row>
    <row r="22" spans="1:18" x14ac:dyDescent="0.25">
      <c r="A22" s="52" t="s">
        <v>4481</v>
      </c>
      <c r="B22" s="772">
        <v>42.795000000000002</v>
      </c>
      <c r="C22" s="53">
        <v>20.690999999999999</v>
      </c>
      <c r="D22" s="775">
        <f t="shared" si="4"/>
        <v>1701.9983733260001</v>
      </c>
      <c r="E22" s="22" t="s">
        <v>959</v>
      </c>
      <c r="F22" s="780">
        <f>6371*(RADIANS(B22)-RADIANS(35.87))</f>
        <v>770.02486701357009</v>
      </c>
      <c r="G22" s="780">
        <f t="shared" ref="G22:G23" si="9">6371*(RADIANS(38.4)-RADIANS(C22))*COS(RADIANS(B22))</f>
        <v>1444.9416143554283</v>
      </c>
      <c r="H22" s="780">
        <f t="shared" ref="H22:H23" si="10">6371*(RADIANS(38.4)-RADIANS(C22))*COS(RADIANS(35.87))</f>
        <v>1595.698628266078</v>
      </c>
      <c r="I22" s="780">
        <f t="shared" ref="I22:I23" si="11">(G22+H22)/2</f>
        <v>1520.3201213107532</v>
      </c>
      <c r="J22" s="784">
        <f t="shared" ref="J22:J23" si="12">(F22/50)</f>
        <v>15.400497340271402</v>
      </c>
      <c r="K22" s="784">
        <f t="shared" ref="K22:K23" si="13">I22/50</f>
        <v>30.406402426215063</v>
      </c>
      <c r="L22" s="780">
        <v>15</v>
      </c>
      <c r="M22" s="780">
        <v>30</v>
      </c>
      <c r="N22" s="31" t="s">
        <v>69</v>
      </c>
      <c r="O22" s="31" t="s">
        <v>69</v>
      </c>
      <c r="P22" s="31" t="s">
        <v>69</v>
      </c>
      <c r="Q22" s="31" t="s">
        <v>69</v>
      </c>
      <c r="R22" s="778">
        <f>SQRT((L22*50)^2+(M22*50)^2)</f>
        <v>1677.0509831248423</v>
      </c>
    </row>
    <row r="23" spans="1:18" x14ac:dyDescent="0.25">
      <c r="A23" s="52" t="s">
        <v>4480</v>
      </c>
      <c r="B23" s="53">
        <v>45.95</v>
      </c>
      <c r="C23" s="54">
        <v>23.83</v>
      </c>
      <c r="D23" s="775">
        <f t="shared" si="4"/>
        <v>1655.0909873653447</v>
      </c>
      <c r="E23" s="22" t="s">
        <v>959</v>
      </c>
      <c r="F23" s="780">
        <f>6371*(RADIANS(B23)-RADIANS(35.87))</f>
        <v>1120.844860577153</v>
      </c>
      <c r="G23" s="780">
        <f t="shared" si="9"/>
        <v>1126.439612107124</v>
      </c>
      <c r="H23" s="780">
        <f t="shared" si="10"/>
        <v>1312.8538604007426</v>
      </c>
      <c r="I23" s="780">
        <f t="shared" si="11"/>
        <v>1219.6467362539333</v>
      </c>
      <c r="J23" s="784">
        <f t="shared" si="12"/>
        <v>22.416897211543059</v>
      </c>
      <c r="K23" s="784">
        <f t="shared" si="13"/>
        <v>24.392934725078668</v>
      </c>
      <c r="L23" s="780">
        <v>22</v>
      </c>
      <c r="M23" s="780">
        <v>24</v>
      </c>
      <c r="N23" s="31" t="s">
        <v>69</v>
      </c>
      <c r="O23" s="31" t="s">
        <v>69</v>
      </c>
      <c r="P23" s="31" t="s">
        <v>69</v>
      </c>
      <c r="Q23" s="31" t="s">
        <v>69</v>
      </c>
      <c r="R23" s="778">
        <f t="shared" ref="R23" si="14">SQRT((L23*50)^2+(M23*50)^2)</f>
        <v>1627.8820596099706</v>
      </c>
    </row>
    <row r="24" spans="1:18" x14ac:dyDescent="0.25">
      <c r="A24" s="773" t="s">
        <v>4484</v>
      </c>
      <c r="B24" s="767">
        <v>53.27</v>
      </c>
      <c r="C24" s="774">
        <v>-1.21</v>
      </c>
      <c r="D24" s="775">
        <f>2*6371*ASIN(SQRT((SIN(RADIANS(B24-35.87)/2))^2+((SIN(RADIANS(C24-38.4)/2))^2)*COS(RADIANS(B24))*COS(RADIANS(35.87))))</f>
        <v>3618.8123290296176</v>
      </c>
      <c r="E24" s="22" t="s">
        <v>959</v>
      </c>
      <c r="F24" s="780">
        <f>6371*(RADIANS(B24)-RADIANS(35.87))</f>
        <v>1934.7917236153232</v>
      </c>
      <c r="G24" s="780">
        <f>6371*(RADIANS(38.4)-RADIANS(C24))*COS(RADIANS(B24))</f>
        <v>2634.0474080190693</v>
      </c>
      <c r="H24" s="780">
        <f>6371*(RADIANS(38.4)-RADIANS(C24))*COS(RADIANS(35.87))</f>
        <v>3569.1243246721633</v>
      </c>
      <c r="I24" s="780">
        <f>(G24+H24)/2</f>
        <v>3101.5858663456165</v>
      </c>
      <c r="J24" s="784">
        <f>(F24/50)</f>
        <v>38.695834472306466</v>
      </c>
      <c r="K24" s="784">
        <f>I24/50</f>
        <v>62.031717326912329</v>
      </c>
      <c r="L24" s="780">
        <v>39</v>
      </c>
      <c r="M24" s="780">
        <v>62</v>
      </c>
      <c r="N24" s="31" t="s">
        <v>69</v>
      </c>
      <c r="O24" s="31" t="s">
        <v>69</v>
      </c>
      <c r="P24" s="31" t="s">
        <v>69</v>
      </c>
      <c r="Q24" s="31" t="s">
        <v>69</v>
      </c>
      <c r="R24" s="778">
        <f>SQRT((L24*50)^2+(M24*50)^2)</f>
        <v>3662.3080154459976</v>
      </c>
    </row>
    <row r="25" spans="1:18" ht="15.75" thickBot="1" x14ac:dyDescent="0.3">
      <c r="A25" s="791" t="s">
        <v>4519</v>
      </c>
      <c r="B25" s="767">
        <v>43.14</v>
      </c>
      <c r="C25" s="768">
        <v>25.9</v>
      </c>
      <c r="D25" s="780">
        <v>1341</v>
      </c>
      <c r="E25" s="22" t="s">
        <v>959</v>
      </c>
      <c r="F25" s="780">
        <f>6371*(RADIANS(B25)-RADIANS(35.87))</f>
        <v>808.38711670594262</v>
      </c>
      <c r="G25" s="780">
        <f>6371*(RADIANS(38.4)-RADIANS(C25))*COS(RADIANS(B25))</f>
        <v>1014.2159918645369</v>
      </c>
      <c r="H25" s="780">
        <f>6371*(RADIANS(38.4)-RADIANS(C25))*COS(RADIANS(35.87))</f>
        <v>1126.3330991770272</v>
      </c>
      <c r="I25" s="780">
        <f>(G25+H25)/2</f>
        <v>1070.2745455207821</v>
      </c>
      <c r="J25" s="784">
        <f>(F25/50)</f>
        <v>16.167742334118852</v>
      </c>
      <c r="K25" s="784">
        <f>I25/50</f>
        <v>21.405490910415644</v>
      </c>
      <c r="L25" s="780">
        <v>16</v>
      </c>
      <c r="M25" s="780">
        <v>21</v>
      </c>
      <c r="N25" s="31" t="s">
        <v>69</v>
      </c>
      <c r="O25" s="31" t="s">
        <v>69</v>
      </c>
      <c r="P25" s="31" t="s">
        <v>69</v>
      </c>
      <c r="Q25" s="31" t="s">
        <v>69</v>
      </c>
      <c r="R25" s="778">
        <f>SQRT((L25*50)^2+(M25*50)^2)</f>
        <v>1320.0378782444086</v>
      </c>
    </row>
    <row r="26" spans="1:18" x14ac:dyDescent="0.25">
      <c r="A26" s="69"/>
      <c r="B26" s="65"/>
      <c r="C26" s="65"/>
      <c r="D26" s="68"/>
      <c r="E26" s="68"/>
      <c r="F26" s="64"/>
      <c r="G26" s="64"/>
      <c r="H26" s="64"/>
      <c r="I26" s="64"/>
      <c r="J26" s="64"/>
      <c r="K26" s="64"/>
      <c r="L26" s="68"/>
      <c r="M26" s="68"/>
      <c r="N26" s="64"/>
      <c r="O26" s="64"/>
      <c r="P26" s="64"/>
      <c r="Q26" s="64"/>
      <c r="R26" s="68"/>
    </row>
    <row r="27" spans="1:18" x14ac:dyDescent="0.25">
      <c r="A27" t="s">
        <v>4710</v>
      </c>
    </row>
    <row r="28" spans="1:18" x14ac:dyDescent="0.25">
      <c r="B28"/>
      <c r="C28"/>
      <c r="K28" s="5"/>
      <c r="L28" s="5"/>
      <c r="M28" s="5"/>
    </row>
    <row r="29" spans="1:18" s="1" customFormat="1" x14ac:dyDescent="0.25">
      <c r="K29" s="7"/>
      <c r="L29" s="7"/>
      <c r="M29" s="7"/>
    </row>
    <row r="30" spans="1:18" s="1" customFormat="1" x14ac:dyDescent="0.25">
      <c r="K30" s="7"/>
      <c r="L30" s="7"/>
      <c r="M30" s="7"/>
    </row>
    <row r="31" spans="1:18" s="1" customFormat="1" x14ac:dyDescent="0.25">
      <c r="K31" s="7"/>
      <c r="L31" s="7"/>
      <c r="M31" s="7"/>
    </row>
    <row r="32" spans="1:18" s="1" customFormat="1" x14ac:dyDescent="0.25">
      <c r="K32" s="7"/>
      <c r="L32" s="7"/>
      <c r="M32" s="7"/>
    </row>
    <row r="33" spans="1:13" s="1" customFormat="1" x14ac:dyDescent="0.25">
      <c r="K33" s="7"/>
      <c r="L33" s="7"/>
      <c r="M33" s="7"/>
    </row>
    <row r="34" spans="1:13" s="1" customFormat="1" x14ac:dyDescent="0.25">
      <c r="K34" s="7"/>
      <c r="L34" s="7"/>
      <c r="M34" s="7"/>
    </row>
    <row r="35" spans="1:13" x14ac:dyDescent="0.25">
      <c r="B35"/>
      <c r="C35"/>
      <c r="K35" s="5"/>
      <c r="L35" s="5"/>
      <c r="M35" s="5"/>
    </row>
    <row r="36" spans="1:13" x14ac:dyDescent="0.25">
      <c r="B36"/>
      <c r="C36"/>
      <c r="K36" s="5"/>
      <c r="L36" s="5"/>
      <c r="M36" s="5"/>
    </row>
    <row r="37" spans="1:13" x14ac:dyDescent="0.25">
      <c r="B37"/>
      <c r="C37"/>
      <c r="K37" s="5"/>
      <c r="L37" s="5"/>
      <c r="M37" s="5"/>
    </row>
    <row r="38" spans="1:13" x14ac:dyDescent="0.25">
      <c r="B38"/>
      <c r="C38"/>
      <c r="K38" s="5"/>
      <c r="L38" s="5"/>
      <c r="M38" s="5"/>
    </row>
    <row r="39" spans="1:13" x14ac:dyDescent="0.25">
      <c r="A39" s="42"/>
      <c r="B39"/>
      <c r="C39"/>
      <c r="K39" s="5"/>
      <c r="L39" s="5"/>
      <c r="M39" s="5"/>
    </row>
    <row r="40" spans="1:13" x14ac:dyDescent="0.25">
      <c r="A40" s="42"/>
      <c r="B40"/>
      <c r="C40"/>
      <c r="K40" s="5"/>
      <c r="L40" s="5"/>
      <c r="M40" s="5"/>
    </row>
    <row r="41" spans="1:13" x14ac:dyDescent="0.25">
      <c r="A41" s="42"/>
      <c r="B41"/>
      <c r="C41"/>
      <c r="K41" s="5"/>
      <c r="L41" s="5"/>
      <c r="M41" s="5"/>
    </row>
    <row r="42" spans="1:13" x14ac:dyDescent="0.25">
      <c r="A42" s="42"/>
      <c r="B42"/>
      <c r="C42"/>
      <c r="K42" s="5"/>
      <c r="L42" s="5"/>
      <c r="M42" s="5"/>
    </row>
    <row r="43" spans="1:13" x14ac:dyDescent="0.25">
      <c r="A43" s="42"/>
      <c r="B43"/>
      <c r="C43"/>
      <c r="K43" s="5"/>
      <c r="L43" s="5"/>
      <c r="M43" s="5"/>
    </row>
    <row r="44" spans="1:13" x14ac:dyDescent="0.25">
      <c r="A44" s="42"/>
      <c r="B44"/>
      <c r="C44"/>
      <c r="K44" s="5"/>
      <c r="L44" s="5"/>
      <c r="M44" s="5"/>
    </row>
    <row r="45" spans="1:13" x14ac:dyDescent="0.25">
      <c r="A45" s="42"/>
      <c r="B45"/>
      <c r="C45"/>
      <c r="K45" s="5"/>
      <c r="L45" s="5"/>
      <c r="M45" s="5"/>
    </row>
    <row r="46" spans="1:13" x14ac:dyDescent="0.25">
      <c r="A46" s="15"/>
      <c r="B46"/>
      <c r="C46"/>
      <c r="K46" s="5"/>
      <c r="L46" s="5"/>
      <c r="M46" s="5"/>
    </row>
    <row r="47" spans="1:13" x14ac:dyDescent="0.25">
      <c r="B47"/>
      <c r="C47"/>
      <c r="K47" s="5"/>
      <c r="L47" s="5"/>
      <c r="M47" s="5"/>
    </row>
    <row r="48" spans="1:13" x14ac:dyDescent="0.25">
      <c r="B48"/>
      <c r="C48"/>
      <c r="K48" s="5"/>
      <c r="L48" s="5"/>
      <c r="M48" s="5"/>
    </row>
    <row r="49" spans="1:13" x14ac:dyDescent="0.25">
      <c r="B49"/>
      <c r="C49"/>
      <c r="K49" s="5"/>
      <c r="L49" s="5"/>
      <c r="M49" s="5"/>
    </row>
    <row r="50" spans="1:13" x14ac:dyDescent="0.25">
      <c r="B50"/>
      <c r="C50"/>
      <c r="K50" s="5"/>
      <c r="L50" s="5"/>
      <c r="M50" s="5"/>
    </row>
    <row r="51" spans="1:13" x14ac:dyDescent="0.25">
      <c r="B51"/>
      <c r="C51"/>
      <c r="K51" s="5"/>
      <c r="L51" s="5"/>
      <c r="M51" s="5"/>
    </row>
    <row r="52" spans="1:13" x14ac:dyDescent="0.25">
      <c r="B52"/>
      <c r="C52"/>
      <c r="K52" s="5"/>
      <c r="L52" s="5"/>
      <c r="M52" s="5"/>
    </row>
    <row r="53" spans="1:13" x14ac:dyDescent="0.25">
      <c r="B53"/>
      <c r="C53"/>
      <c r="K53" s="5"/>
      <c r="L53" s="5"/>
      <c r="M53" s="5"/>
    </row>
    <row r="54" spans="1:13" s="34" customFormat="1" ht="15.75" x14ac:dyDescent="0.25">
      <c r="A54"/>
      <c r="G54" s="36"/>
      <c r="H54" s="36"/>
      <c r="I54" s="36"/>
    </row>
    <row r="55" spans="1:13" x14ac:dyDescent="0.25">
      <c r="B55"/>
      <c r="C55"/>
      <c r="K55" s="5"/>
      <c r="L55" s="5"/>
      <c r="M55" s="5"/>
    </row>
    <row r="56" spans="1:13" x14ac:dyDescent="0.25">
      <c r="A56" s="15"/>
      <c r="B56"/>
      <c r="C56"/>
      <c r="K56" s="5"/>
      <c r="L56" s="5"/>
      <c r="M56" s="5"/>
    </row>
  </sheetData>
  <mergeCells count="24">
    <mergeCell ref="L7:M7"/>
    <mergeCell ref="N7:O7"/>
    <mergeCell ref="P7:Q7"/>
    <mergeCell ref="F7:G7"/>
    <mergeCell ref="H7:I7"/>
    <mergeCell ref="J7:K7"/>
    <mergeCell ref="R8:R9"/>
    <mergeCell ref="Q8:Q9"/>
    <mergeCell ref="P8:P9"/>
    <mergeCell ref="O8:O9"/>
    <mergeCell ref="N8:N9"/>
    <mergeCell ref="M8:M9"/>
    <mergeCell ref="L8:L9"/>
    <mergeCell ref="K8:K9"/>
    <mergeCell ref="J8:J9"/>
    <mergeCell ref="I8:I9"/>
    <mergeCell ref="C8:C9"/>
    <mergeCell ref="B8:B9"/>
    <mergeCell ref="A8:A9"/>
    <mergeCell ref="H8:H9"/>
    <mergeCell ref="G8:G9"/>
    <mergeCell ref="F8:F9"/>
    <mergeCell ref="E8:E9"/>
    <mergeCell ref="D8:D9"/>
  </mergeCells>
  <pageMargins left="0.23622047244094491" right="0.19685039370078741" top="0.74803149606299213" bottom="0.74803149606299213" header="0.31496062992125984" footer="0.31496062992125984"/>
  <pageSetup paperSize="9" scale="6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W572"/>
  <sheetViews>
    <sheetView topLeftCell="A449" zoomScale="75" zoomScaleNormal="75" workbookViewId="0">
      <selection activeCell="H479" sqref="H479"/>
    </sheetView>
  </sheetViews>
  <sheetFormatPr baseColWidth="10" defaultColWidth="11.5703125" defaultRowHeight="14.25" x14ac:dyDescent="0.2"/>
  <cols>
    <col min="1" max="1" width="33.5703125" style="141" customWidth="1"/>
    <col min="2" max="2" width="31.42578125" style="134" customWidth="1"/>
    <col min="3" max="3" width="14.42578125" style="135" customWidth="1"/>
    <col min="4" max="4" width="9.7109375" style="136" customWidth="1"/>
    <col min="5" max="5" width="9" style="136" customWidth="1"/>
    <col min="6" max="6" width="9.28515625" style="137" customWidth="1"/>
    <col min="7" max="7" width="8.140625" style="138" customWidth="1"/>
    <col min="8" max="8" width="8.28515625" style="138" customWidth="1"/>
    <col min="9" max="9" width="14.85546875" style="463" customWidth="1"/>
    <col min="10" max="10" width="14.28515625" style="134" customWidth="1"/>
    <col min="11" max="11" width="30" style="139" customWidth="1"/>
    <col min="12" max="12" width="4.7109375" style="140" customWidth="1"/>
    <col min="13" max="13" width="21.28515625" style="141" customWidth="1"/>
    <col min="14" max="14" width="12.85546875" style="134" customWidth="1"/>
    <col min="15" max="15" width="9.85546875" style="134" customWidth="1"/>
    <col min="16" max="16" width="8.5703125" style="134" customWidth="1"/>
    <col min="17" max="17" width="7.7109375" style="134" customWidth="1"/>
    <col min="18" max="18" width="11.5703125" style="140"/>
    <col min="19" max="16384" width="11.5703125" style="135"/>
  </cols>
  <sheetData>
    <row r="1" spans="1:153" ht="31.5" x14ac:dyDescent="0.5">
      <c r="C1" s="1073" t="s">
        <v>4700</v>
      </c>
      <c r="E1" s="864"/>
    </row>
    <row r="3" spans="1:153" ht="28.5" x14ac:dyDescent="0.45">
      <c r="B3" s="462" t="s">
        <v>4681</v>
      </c>
    </row>
    <row r="4" spans="1:153" ht="18.75" x14ac:dyDescent="0.3">
      <c r="B4" s="460" t="s">
        <v>4298</v>
      </c>
      <c r="C4" s="453"/>
      <c r="D4" s="456"/>
      <c r="E4" s="456"/>
      <c r="F4" s="457"/>
      <c r="G4" s="457"/>
      <c r="H4" s="457"/>
    </row>
    <row r="5" spans="1:153" ht="18.75" x14ac:dyDescent="0.3">
      <c r="B5" s="461" t="s">
        <v>4711</v>
      </c>
    </row>
    <row r="6" spans="1:153" ht="15" x14ac:dyDescent="0.25">
      <c r="B6" s="870" t="s">
        <v>1261</v>
      </c>
    </row>
    <row r="7" spans="1:153" ht="15" x14ac:dyDescent="0.25">
      <c r="B7" s="870"/>
    </row>
    <row r="8" spans="1:153" ht="31.5" x14ac:dyDescent="0.5">
      <c r="A8" s="865" t="s">
        <v>4715</v>
      </c>
    </row>
    <row r="9" spans="1:153" x14ac:dyDescent="0.2">
      <c r="A9" s="133"/>
    </row>
    <row r="10" spans="1:153" s="452" customFormat="1" ht="25.9" customHeight="1" x14ac:dyDescent="0.2">
      <c r="A10" s="871" t="s">
        <v>4292</v>
      </c>
      <c r="B10" s="447" t="s">
        <v>1262</v>
      </c>
      <c r="C10" s="447" t="s">
        <v>0</v>
      </c>
      <c r="D10" s="446" t="s">
        <v>969</v>
      </c>
      <c r="E10" s="446" t="s">
        <v>2323</v>
      </c>
      <c r="F10" s="448" t="s">
        <v>398</v>
      </c>
      <c r="G10" s="449" t="s">
        <v>399</v>
      </c>
      <c r="H10" s="449" t="s">
        <v>400</v>
      </c>
      <c r="I10" s="464" t="s">
        <v>401</v>
      </c>
      <c r="J10" s="495" t="s">
        <v>402</v>
      </c>
      <c r="K10" s="450" t="s">
        <v>403</v>
      </c>
      <c r="L10" s="446" t="s">
        <v>1</v>
      </c>
      <c r="M10" s="446" t="s">
        <v>404</v>
      </c>
      <c r="N10" s="446" t="s">
        <v>1263</v>
      </c>
      <c r="O10" s="446" t="s">
        <v>1264</v>
      </c>
      <c r="P10" s="446" t="s">
        <v>1265</v>
      </c>
      <c r="Q10" s="446" t="s">
        <v>1266</v>
      </c>
      <c r="R10" s="446" t="s">
        <v>2324</v>
      </c>
      <c r="S10" s="451"/>
      <c r="T10" s="451"/>
      <c r="U10" s="451"/>
      <c r="V10" s="451"/>
      <c r="W10" s="451"/>
      <c r="X10" s="451"/>
      <c r="Y10" s="451"/>
      <c r="Z10" s="451"/>
      <c r="AA10" s="451"/>
      <c r="AB10" s="451"/>
      <c r="AC10" s="451"/>
      <c r="AD10" s="451"/>
      <c r="AE10" s="451"/>
      <c r="AF10" s="451"/>
      <c r="AG10" s="451"/>
      <c r="AH10" s="451"/>
      <c r="AI10" s="451"/>
      <c r="AJ10" s="451"/>
      <c r="AK10" s="451"/>
      <c r="AL10" s="451"/>
      <c r="AM10" s="451"/>
      <c r="AN10" s="451"/>
      <c r="AO10" s="451"/>
      <c r="AP10" s="451"/>
      <c r="AQ10" s="451"/>
      <c r="AR10" s="451"/>
      <c r="AS10" s="451"/>
      <c r="AT10" s="451"/>
      <c r="AU10" s="451"/>
      <c r="AV10" s="451"/>
      <c r="AW10" s="451"/>
      <c r="AX10" s="451"/>
      <c r="AY10" s="451"/>
      <c r="AZ10" s="451"/>
      <c r="BA10" s="451"/>
      <c r="BB10" s="451"/>
      <c r="BC10" s="451"/>
      <c r="BD10" s="451"/>
      <c r="BE10" s="451"/>
      <c r="BF10" s="451"/>
      <c r="BG10" s="451"/>
      <c r="BH10" s="451"/>
      <c r="BI10" s="451"/>
      <c r="BJ10" s="451"/>
      <c r="BK10" s="451"/>
      <c r="BL10" s="451"/>
      <c r="BM10" s="451"/>
      <c r="BN10" s="451"/>
      <c r="BO10" s="451"/>
      <c r="BP10" s="451"/>
      <c r="BQ10" s="451"/>
      <c r="BR10" s="451"/>
      <c r="BS10" s="451"/>
      <c r="BT10" s="451"/>
      <c r="BU10" s="451"/>
      <c r="BV10" s="451"/>
      <c r="BW10" s="451"/>
      <c r="BX10" s="451"/>
      <c r="BY10" s="451"/>
      <c r="BZ10" s="451"/>
      <c r="CA10" s="451"/>
      <c r="CB10" s="451"/>
      <c r="CC10" s="451"/>
      <c r="CD10" s="451"/>
      <c r="CE10" s="451"/>
      <c r="CF10" s="451"/>
      <c r="CG10" s="451"/>
      <c r="CH10" s="451"/>
      <c r="CI10" s="451"/>
      <c r="CJ10" s="451"/>
      <c r="CK10" s="451"/>
      <c r="CL10" s="451"/>
      <c r="CM10" s="451"/>
      <c r="CN10" s="451"/>
      <c r="CO10" s="451"/>
      <c r="CP10" s="451"/>
      <c r="CQ10" s="451"/>
      <c r="CR10" s="451"/>
      <c r="CS10" s="451"/>
      <c r="CT10" s="451"/>
      <c r="CU10" s="451"/>
      <c r="CV10" s="451"/>
      <c r="CW10" s="451"/>
      <c r="CX10" s="451"/>
      <c r="CY10" s="451"/>
      <c r="CZ10" s="451"/>
      <c r="DA10" s="451"/>
      <c r="DB10" s="451"/>
      <c r="DC10" s="451"/>
      <c r="DD10" s="451"/>
      <c r="DE10" s="451"/>
      <c r="DF10" s="451"/>
      <c r="DG10" s="451"/>
      <c r="DH10" s="451"/>
      <c r="DI10" s="451"/>
      <c r="DJ10" s="451"/>
      <c r="DK10" s="451"/>
      <c r="DL10" s="451"/>
      <c r="DM10" s="451"/>
      <c r="DN10" s="451"/>
      <c r="DO10" s="451"/>
      <c r="DP10" s="451"/>
      <c r="DQ10" s="451"/>
      <c r="DR10" s="451"/>
      <c r="DS10" s="451"/>
      <c r="DT10" s="451"/>
      <c r="DU10" s="451"/>
      <c r="DV10" s="451"/>
      <c r="DW10" s="451"/>
      <c r="DX10" s="451"/>
      <c r="DY10" s="451"/>
      <c r="DZ10" s="451"/>
      <c r="EA10" s="451"/>
      <c r="EB10" s="451"/>
      <c r="EC10" s="451"/>
      <c r="ED10" s="451"/>
      <c r="EE10" s="451"/>
      <c r="EF10" s="451"/>
      <c r="EG10" s="451"/>
      <c r="EH10" s="451"/>
      <c r="EI10" s="451"/>
      <c r="EJ10" s="451"/>
      <c r="EK10" s="451"/>
      <c r="EL10" s="451"/>
      <c r="EM10" s="451"/>
      <c r="EN10" s="451"/>
      <c r="EO10" s="451"/>
      <c r="EP10" s="451"/>
      <c r="EQ10" s="451"/>
      <c r="ER10" s="451"/>
      <c r="ES10" s="451"/>
      <c r="ET10" s="451"/>
      <c r="EU10" s="451"/>
      <c r="EV10" s="451"/>
      <c r="EW10" s="451"/>
    </row>
    <row r="11" spans="1:153" s="147" customFormat="1" ht="13.15" customHeight="1" x14ac:dyDescent="0.2">
      <c r="A11" s="142"/>
      <c r="B11" s="143"/>
      <c r="C11" s="148" t="s">
        <v>2296</v>
      </c>
      <c r="D11" s="142"/>
      <c r="E11" s="142"/>
      <c r="F11" s="144"/>
      <c r="G11" s="145"/>
      <c r="H11" s="145"/>
      <c r="I11" s="465"/>
      <c r="J11" s="496"/>
      <c r="K11" s="146"/>
      <c r="L11" s="142"/>
      <c r="M11" s="142"/>
      <c r="N11" s="142"/>
      <c r="O11" s="142"/>
      <c r="P11" s="142"/>
      <c r="Q11" s="142"/>
      <c r="R11" s="140"/>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1"/>
      <c r="AY11" s="141"/>
      <c r="AZ11" s="141"/>
      <c r="BA11" s="141"/>
      <c r="BB11" s="141"/>
      <c r="BC11" s="141"/>
      <c r="BD11" s="141"/>
      <c r="BE11" s="141"/>
      <c r="BF11" s="141"/>
      <c r="BG11" s="141"/>
      <c r="BH11" s="141"/>
      <c r="BI11" s="141"/>
      <c r="BJ11" s="141"/>
      <c r="BK11" s="141"/>
      <c r="BL11" s="141"/>
      <c r="BM11" s="141"/>
      <c r="BN11" s="141"/>
      <c r="BO11" s="141"/>
      <c r="BP11" s="141"/>
      <c r="BQ11" s="141"/>
      <c r="BR11" s="141"/>
      <c r="BS11" s="141"/>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c r="EL11" s="141"/>
      <c r="EM11" s="141"/>
      <c r="EN11" s="141"/>
      <c r="EO11" s="141"/>
      <c r="EP11" s="141"/>
      <c r="EQ11" s="141"/>
      <c r="ER11" s="141"/>
      <c r="ES11" s="141"/>
      <c r="ET11" s="141"/>
      <c r="EU11" s="141"/>
      <c r="EV11" s="141"/>
      <c r="EW11" s="141"/>
    </row>
    <row r="12" spans="1:153" s="141" customFormat="1" x14ac:dyDescent="0.2">
      <c r="A12" s="141" t="s">
        <v>1267</v>
      </c>
      <c r="B12" s="134" t="s">
        <v>1268</v>
      </c>
      <c r="C12" s="135" t="s">
        <v>858</v>
      </c>
      <c r="D12" s="136">
        <v>48.41</v>
      </c>
      <c r="E12" s="136">
        <v>15.59</v>
      </c>
      <c r="F12" s="137">
        <f>(G12+H12)/2</f>
        <v>29020</v>
      </c>
      <c r="G12" s="138">
        <v>29300</v>
      </c>
      <c r="H12" s="138">
        <v>28740</v>
      </c>
      <c r="I12" s="463" t="s">
        <v>9</v>
      </c>
      <c r="J12" s="463" t="s">
        <v>69</v>
      </c>
      <c r="K12" s="139" t="s">
        <v>1269</v>
      </c>
      <c r="L12" s="140" t="s">
        <v>14</v>
      </c>
      <c r="M12" s="141" t="s">
        <v>1270</v>
      </c>
      <c r="N12" s="134" t="s">
        <v>69</v>
      </c>
      <c r="O12" s="134" t="s">
        <v>69</v>
      </c>
      <c r="P12" s="134" t="s">
        <v>69</v>
      </c>
      <c r="Q12" s="134" t="s">
        <v>69</v>
      </c>
      <c r="R12" s="140"/>
      <c r="S12" s="135"/>
      <c r="T12" s="135"/>
      <c r="V12" s="149"/>
      <c r="Y12" s="134"/>
      <c r="Z12" s="134"/>
    </row>
    <row r="13" spans="1:153" s="141" customFormat="1" x14ac:dyDescent="0.2">
      <c r="A13" s="141" t="s">
        <v>1275</v>
      </c>
      <c r="B13" s="134" t="s">
        <v>1268</v>
      </c>
      <c r="C13" s="135" t="s">
        <v>858</v>
      </c>
      <c r="D13" s="136">
        <v>48.4136448</v>
      </c>
      <c r="E13" s="136">
        <v>15.59</v>
      </c>
      <c r="F13" s="137">
        <v>29020</v>
      </c>
      <c r="G13" s="138">
        <v>29300</v>
      </c>
      <c r="H13" s="138">
        <v>28740</v>
      </c>
      <c r="I13" s="463" t="s">
        <v>1276</v>
      </c>
      <c r="J13" s="463" t="s">
        <v>1277</v>
      </c>
      <c r="K13" s="139" t="s">
        <v>1278</v>
      </c>
      <c r="L13" s="140" t="s">
        <v>69</v>
      </c>
      <c r="M13" s="141" t="s">
        <v>1279</v>
      </c>
      <c r="N13" s="134" t="s">
        <v>1280</v>
      </c>
      <c r="O13" s="134" t="s">
        <v>69</v>
      </c>
      <c r="P13" s="134" t="s">
        <v>69</v>
      </c>
      <c r="Q13" s="134" t="s">
        <v>69</v>
      </c>
      <c r="R13" s="140"/>
      <c r="S13" s="135"/>
      <c r="T13" s="135"/>
      <c r="V13" s="149"/>
      <c r="Y13" s="134"/>
      <c r="Z13" s="134"/>
    </row>
    <row r="14" spans="1:153" s="141" customFormat="1" x14ac:dyDescent="0.2">
      <c r="A14" s="141" t="s">
        <v>1275</v>
      </c>
      <c r="B14" s="134" t="s">
        <v>1268</v>
      </c>
      <c r="C14" s="135" t="s">
        <v>858</v>
      </c>
      <c r="D14" s="136">
        <v>48.4136448</v>
      </c>
      <c r="E14" s="136">
        <v>15.59</v>
      </c>
      <c r="F14" s="137">
        <v>29020</v>
      </c>
      <c r="G14" s="138">
        <v>29300</v>
      </c>
      <c r="H14" s="138">
        <v>28740</v>
      </c>
      <c r="I14" s="463" t="s">
        <v>1276</v>
      </c>
      <c r="J14" s="463" t="s">
        <v>1277</v>
      </c>
      <c r="K14" s="139" t="s">
        <v>1278</v>
      </c>
      <c r="L14" s="140" t="s">
        <v>69</v>
      </c>
      <c r="M14" s="141" t="s">
        <v>1281</v>
      </c>
      <c r="N14" s="134" t="s">
        <v>1282</v>
      </c>
      <c r="O14" s="134" t="s">
        <v>69</v>
      </c>
      <c r="P14" s="134" t="s">
        <v>69</v>
      </c>
      <c r="Q14" s="134" t="s">
        <v>69</v>
      </c>
      <c r="R14" s="140"/>
      <c r="S14" s="135"/>
      <c r="T14" s="135"/>
      <c r="V14" s="149"/>
      <c r="Y14" s="134"/>
      <c r="Z14" s="134"/>
    </row>
    <row r="15" spans="1:153" s="141" customFormat="1" x14ac:dyDescent="0.2">
      <c r="A15" s="141" t="s">
        <v>1283</v>
      </c>
      <c r="B15" s="134" t="s">
        <v>1284</v>
      </c>
      <c r="C15" s="135" t="s">
        <v>1285</v>
      </c>
      <c r="D15" s="136">
        <v>50.26</v>
      </c>
      <c r="E15" s="136">
        <v>4.28</v>
      </c>
      <c r="F15" s="137">
        <f t="shared" ref="F15:F22" si="0">(G15+H15)/2</f>
        <v>32845</v>
      </c>
      <c r="G15" s="138">
        <v>33210</v>
      </c>
      <c r="H15" s="138">
        <v>32480</v>
      </c>
      <c r="I15" s="463" t="s">
        <v>14</v>
      </c>
      <c r="J15" s="463" t="s">
        <v>147</v>
      </c>
      <c r="K15" s="139" t="s">
        <v>1286</v>
      </c>
      <c r="L15" s="140" t="s">
        <v>14</v>
      </c>
      <c r="M15" s="141" t="s">
        <v>1286</v>
      </c>
      <c r="N15" s="134" t="s">
        <v>1287</v>
      </c>
      <c r="O15" s="134" t="s">
        <v>69</v>
      </c>
      <c r="P15" s="134" t="s">
        <v>69</v>
      </c>
      <c r="Q15" s="134" t="s">
        <v>69</v>
      </c>
      <c r="R15" s="140"/>
      <c r="S15" s="135"/>
      <c r="T15" s="135"/>
      <c r="V15" s="149"/>
      <c r="Y15" s="134"/>
      <c r="Z15" s="134"/>
    </row>
    <row r="16" spans="1:153" s="141" customFormat="1" x14ac:dyDescent="0.2">
      <c r="A16" s="141" t="s">
        <v>1288</v>
      </c>
      <c r="B16" s="134" t="s">
        <v>1284</v>
      </c>
      <c r="C16" s="135" t="s">
        <v>1285</v>
      </c>
      <c r="D16" s="136">
        <v>50.26</v>
      </c>
      <c r="E16" s="136">
        <v>4.28</v>
      </c>
      <c r="F16" s="137">
        <f t="shared" si="0"/>
        <v>27425</v>
      </c>
      <c r="G16" s="138">
        <v>27600</v>
      </c>
      <c r="H16" s="138">
        <v>27250</v>
      </c>
      <c r="I16" s="463" t="s">
        <v>14</v>
      </c>
      <c r="J16" s="463" t="s">
        <v>69</v>
      </c>
      <c r="K16" s="139" t="s">
        <v>1289</v>
      </c>
      <c r="L16" s="140" t="s">
        <v>69</v>
      </c>
      <c r="M16" s="141" t="s">
        <v>1290</v>
      </c>
      <c r="N16" s="134" t="s">
        <v>1291</v>
      </c>
      <c r="O16" s="134" t="s">
        <v>1291</v>
      </c>
      <c r="P16" s="134" t="s">
        <v>69</v>
      </c>
      <c r="Q16" s="134" t="s">
        <v>69</v>
      </c>
      <c r="R16" s="140"/>
      <c r="S16" s="135"/>
      <c r="T16" s="135"/>
      <c r="V16" s="149"/>
      <c r="Y16" s="134"/>
      <c r="Z16" s="134"/>
    </row>
    <row r="17" spans="1:26" s="141" customFormat="1" x14ac:dyDescent="0.2">
      <c r="A17" s="141" t="s">
        <v>1267</v>
      </c>
      <c r="B17" s="134" t="s">
        <v>1284</v>
      </c>
      <c r="C17" s="135" t="s">
        <v>1285</v>
      </c>
      <c r="D17" s="136">
        <v>50.26</v>
      </c>
      <c r="E17" s="136">
        <v>4.28</v>
      </c>
      <c r="F17" s="137">
        <f t="shared" si="0"/>
        <v>25565</v>
      </c>
      <c r="G17" s="138">
        <v>25770</v>
      </c>
      <c r="H17" s="138">
        <v>25360</v>
      </c>
      <c r="I17" s="463" t="s">
        <v>1292</v>
      </c>
      <c r="J17" s="463" t="s">
        <v>69</v>
      </c>
      <c r="K17" s="139" t="s">
        <v>1269</v>
      </c>
      <c r="L17" s="140" t="s">
        <v>2</v>
      </c>
      <c r="M17" s="141" t="s">
        <v>1293</v>
      </c>
      <c r="N17" s="134" t="s">
        <v>69</v>
      </c>
      <c r="O17" s="134" t="s">
        <v>69</v>
      </c>
      <c r="P17" s="134" t="s">
        <v>69</v>
      </c>
      <c r="Q17" s="134" t="s">
        <v>69</v>
      </c>
      <c r="R17" s="140"/>
      <c r="S17" s="135"/>
      <c r="T17" s="135"/>
      <c r="V17" s="149"/>
      <c r="Y17" s="134"/>
      <c r="Z17" s="134"/>
    </row>
    <row r="18" spans="1:26" s="141" customFormat="1" x14ac:dyDescent="0.2">
      <c r="A18" s="141" t="s">
        <v>1267</v>
      </c>
      <c r="B18" s="134" t="s">
        <v>1284</v>
      </c>
      <c r="C18" s="135" t="s">
        <v>1285</v>
      </c>
      <c r="D18" s="136">
        <v>50.26</v>
      </c>
      <c r="E18" s="136">
        <v>4.28</v>
      </c>
      <c r="F18" s="137">
        <f t="shared" si="0"/>
        <v>26025</v>
      </c>
      <c r="G18" s="138">
        <v>26280</v>
      </c>
      <c r="H18" s="138">
        <v>25770</v>
      </c>
      <c r="I18" s="463" t="s">
        <v>1292</v>
      </c>
      <c r="J18" s="463" t="s">
        <v>69</v>
      </c>
      <c r="K18" s="139" t="s">
        <v>1269</v>
      </c>
      <c r="L18" s="140" t="s">
        <v>2</v>
      </c>
      <c r="M18" s="141" t="s">
        <v>1294</v>
      </c>
      <c r="N18" s="134" t="s">
        <v>69</v>
      </c>
      <c r="O18" s="134" t="s">
        <v>69</v>
      </c>
      <c r="P18" s="134" t="s">
        <v>69</v>
      </c>
      <c r="Q18" s="134" t="s">
        <v>69</v>
      </c>
      <c r="R18" s="140"/>
      <c r="S18" s="135"/>
      <c r="T18" s="135"/>
      <c r="V18" s="149"/>
      <c r="Y18" s="134"/>
      <c r="Z18" s="134"/>
    </row>
    <row r="19" spans="1:26" s="141" customFormat="1" x14ac:dyDescent="0.2">
      <c r="A19" s="141" t="s">
        <v>1267</v>
      </c>
      <c r="B19" s="134" t="s">
        <v>1284</v>
      </c>
      <c r="C19" s="135" t="s">
        <v>1285</v>
      </c>
      <c r="D19" s="136">
        <v>50.26</v>
      </c>
      <c r="E19" s="136">
        <v>4.28</v>
      </c>
      <c r="F19" s="137">
        <f t="shared" si="0"/>
        <v>24370</v>
      </c>
      <c r="G19" s="138">
        <v>24650</v>
      </c>
      <c r="H19" s="138">
        <v>24090</v>
      </c>
      <c r="I19" s="463" t="s">
        <v>1292</v>
      </c>
      <c r="J19" s="463" t="s">
        <v>69</v>
      </c>
      <c r="K19" s="139" t="s">
        <v>1269</v>
      </c>
      <c r="L19" s="140" t="s">
        <v>2</v>
      </c>
      <c r="M19" s="141" t="s">
        <v>1295</v>
      </c>
      <c r="N19" s="134" t="s">
        <v>69</v>
      </c>
      <c r="O19" s="134" t="s">
        <v>69</v>
      </c>
      <c r="P19" s="134" t="s">
        <v>69</v>
      </c>
      <c r="Q19" s="134" t="s">
        <v>69</v>
      </c>
      <c r="R19" s="140"/>
      <c r="S19" s="135"/>
      <c r="T19" s="135"/>
      <c r="V19" s="149"/>
      <c r="Y19" s="134"/>
      <c r="Z19" s="134"/>
    </row>
    <row r="20" spans="1:26" s="141" customFormat="1" x14ac:dyDescent="0.2">
      <c r="A20" s="141" t="s">
        <v>1288</v>
      </c>
      <c r="B20" s="134" t="s">
        <v>1284</v>
      </c>
      <c r="C20" s="135" t="s">
        <v>1285</v>
      </c>
      <c r="D20" s="136">
        <v>50.26</v>
      </c>
      <c r="E20" s="136">
        <v>4.28</v>
      </c>
      <c r="F20" s="137">
        <f t="shared" si="0"/>
        <v>21325</v>
      </c>
      <c r="G20" s="138">
        <v>21440</v>
      </c>
      <c r="H20" s="138">
        <v>21210</v>
      </c>
      <c r="I20" s="463" t="s">
        <v>1292</v>
      </c>
      <c r="J20" s="463" t="s">
        <v>69</v>
      </c>
      <c r="K20" s="139" t="s">
        <v>1269</v>
      </c>
      <c r="L20" s="140" t="s">
        <v>69</v>
      </c>
      <c r="M20" s="141" t="s">
        <v>1296</v>
      </c>
      <c r="N20" s="134" t="s">
        <v>1297</v>
      </c>
      <c r="O20" s="134" t="s">
        <v>1297</v>
      </c>
      <c r="P20" s="134" t="s">
        <v>69</v>
      </c>
      <c r="Q20" s="134" t="s">
        <v>69</v>
      </c>
      <c r="R20" s="140"/>
      <c r="S20" s="135"/>
      <c r="T20" s="135"/>
      <c r="V20" s="149"/>
      <c r="Y20" s="134"/>
      <c r="Z20" s="134"/>
    </row>
    <row r="21" spans="1:26" s="141" customFormat="1" x14ac:dyDescent="0.2">
      <c r="A21" s="141" t="s">
        <v>1288</v>
      </c>
      <c r="B21" s="134" t="s">
        <v>1284</v>
      </c>
      <c r="C21" s="135" t="s">
        <v>1285</v>
      </c>
      <c r="D21" s="136">
        <v>50.26</v>
      </c>
      <c r="E21" s="136">
        <v>4.28</v>
      </c>
      <c r="F21" s="137">
        <f t="shared" si="0"/>
        <v>20410</v>
      </c>
      <c r="G21" s="138">
        <v>20520</v>
      </c>
      <c r="H21" s="138">
        <v>20300</v>
      </c>
      <c r="I21" s="463" t="s">
        <v>9</v>
      </c>
      <c r="J21" s="463" t="s">
        <v>69</v>
      </c>
      <c r="K21" s="139" t="s">
        <v>1269</v>
      </c>
      <c r="L21" s="140" t="s">
        <v>69</v>
      </c>
      <c r="M21" s="141" t="s">
        <v>1298</v>
      </c>
      <c r="N21" s="134" t="s">
        <v>1299</v>
      </c>
      <c r="O21" s="134" t="s">
        <v>1300</v>
      </c>
      <c r="P21" s="134" t="s">
        <v>69</v>
      </c>
      <c r="Q21" s="134" t="s">
        <v>69</v>
      </c>
      <c r="R21" s="140"/>
      <c r="S21" s="135"/>
      <c r="T21" s="135"/>
      <c r="V21" s="149"/>
      <c r="Y21" s="134"/>
      <c r="Z21" s="134"/>
    </row>
    <row r="22" spans="1:26" s="141" customFormat="1" x14ac:dyDescent="0.2">
      <c r="A22" s="141" t="s">
        <v>1267</v>
      </c>
      <c r="B22" s="134" t="s">
        <v>1284</v>
      </c>
      <c r="C22" s="135" t="s">
        <v>1285</v>
      </c>
      <c r="D22" s="136">
        <v>50.26</v>
      </c>
      <c r="E22" s="136">
        <v>4.28</v>
      </c>
      <c r="F22" s="137">
        <f t="shared" si="0"/>
        <v>13055</v>
      </c>
      <c r="G22" s="138">
        <v>13280</v>
      </c>
      <c r="H22" s="138">
        <v>12830</v>
      </c>
      <c r="I22" s="463" t="s">
        <v>1301</v>
      </c>
      <c r="J22" s="463" t="s">
        <v>1302</v>
      </c>
      <c r="K22" s="139" t="s">
        <v>1303</v>
      </c>
      <c r="L22" s="140" t="s">
        <v>14</v>
      </c>
      <c r="M22" s="141" t="s">
        <v>1304</v>
      </c>
      <c r="N22" s="134" t="s">
        <v>69</v>
      </c>
      <c r="O22" s="134" t="s">
        <v>69</v>
      </c>
      <c r="P22" s="134" t="s">
        <v>69</v>
      </c>
      <c r="Q22" s="134" t="s">
        <v>69</v>
      </c>
      <c r="R22" s="140"/>
      <c r="S22" s="135"/>
      <c r="T22" s="135"/>
      <c r="V22" s="149"/>
      <c r="Y22" s="134"/>
      <c r="Z22" s="134"/>
    </row>
    <row r="23" spans="1:26" s="141" customFormat="1" x14ac:dyDescent="0.2">
      <c r="A23" s="141" t="s">
        <v>1305</v>
      </c>
      <c r="B23" s="134" t="s">
        <v>1306</v>
      </c>
      <c r="C23" s="135" t="s">
        <v>584</v>
      </c>
      <c r="D23" s="136">
        <v>42.946666999999998</v>
      </c>
      <c r="E23" s="136">
        <v>25.430278000000001</v>
      </c>
      <c r="F23" s="137">
        <v>42785</v>
      </c>
      <c r="G23" s="138">
        <v>43870</v>
      </c>
      <c r="H23" s="138">
        <v>41700</v>
      </c>
      <c r="I23" s="463" t="s">
        <v>1307</v>
      </c>
      <c r="J23" s="463" t="s">
        <v>69</v>
      </c>
      <c r="K23" s="139" t="s">
        <v>1308</v>
      </c>
      <c r="L23" s="140" t="s">
        <v>69</v>
      </c>
      <c r="M23" s="141" t="s">
        <v>1309</v>
      </c>
      <c r="N23" s="134" t="s">
        <v>69</v>
      </c>
      <c r="O23" s="134" t="s">
        <v>69</v>
      </c>
      <c r="P23" s="134" t="s">
        <v>69</v>
      </c>
      <c r="Q23" s="134" t="s">
        <v>69</v>
      </c>
      <c r="R23" s="140"/>
      <c r="S23" s="135"/>
      <c r="T23" s="135"/>
      <c r="V23" s="149"/>
      <c r="Y23" s="134"/>
      <c r="Z23" s="134"/>
    </row>
    <row r="24" spans="1:26" s="141" customFormat="1" x14ac:dyDescent="0.2">
      <c r="A24" s="141" t="s">
        <v>1305</v>
      </c>
      <c r="B24" s="134" t="s">
        <v>1306</v>
      </c>
      <c r="C24" s="135" t="s">
        <v>584</v>
      </c>
      <c r="D24" s="136">
        <v>42.946666999999998</v>
      </c>
      <c r="E24" s="136">
        <v>25.430278000000001</v>
      </c>
      <c r="F24" s="137">
        <v>42785</v>
      </c>
      <c r="G24" s="138">
        <v>43870</v>
      </c>
      <c r="H24" s="138">
        <v>41700</v>
      </c>
      <c r="I24" s="463" t="s">
        <v>1307</v>
      </c>
      <c r="J24" s="463" t="s">
        <v>69</v>
      </c>
      <c r="K24" s="139" t="s">
        <v>1308</v>
      </c>
      <c r="L24" s="140" t="s">
        <v>69</v>
      </c>
      <c r="M24" s="141" t="s">
        <v>1310</v>
      </c>
      <c r="N24" s="134" t="s">
        <v>69</v>
      </c>
      <c r="O24" s="134" t="s">
        <v>69</v>
      </c>
      <c r="P24" s="134" t="s">
        <v>69</v>
      </c>
      <c r="Q24" s="134" t="s">
        <v>69</v>
      </c>
      <c r="R24" s="140"/>
      <c r="S24" s="135"/>
      <c r="T24" s="135"/>
      <c r="V24" s="149"/>
      <c r="Y24" s="134"/>
      <c r="Z24" s="134"/>
    </row>
    <row r="25" spans="1:26" s="141" customFormat="1" x14ac:dyDescent="0.2">
      <c r="A25" s="141" t="s">
        <v>1305</v>
      </c>
      <c r="B25" s="134" t="s">
        <v>1306</v>
      </c>
      <c r="C25" s="135" t="s">
        <v>584</v>
      </c>
      <c r="D25" s="136">
        <v>42.946666999999998</v>
      </c>
      <c r="E25" s="136">
        <v>25.430278000000001</v>
      </c>
      <c r="F25" s="137">
        <v>42785</v>
      </c>
      <c r="G25" s="138">
        <v>43870</v>
      </c>
      <c r="H25" s="138">
        <v>41700</v>
      </c>
      <c r="I25" s="463" t="s">
        <v>1311</v>
      </c>
      <c r="J25" s="463" t="s">
        <v>69</v>
      </c>
      <c r="K25" s="139" t="s">
        <v>1308</v>
      </c>
      <c r="L25" s="140" t="s">
        <v>69</v>
      </c>
      <c r="M25" s="141" t="s">
        <v>1312</v>
      </c>
      <c r="N25" s="134" t="s">
        <v>69</v>
      </c>
      <c r="O25" s="134" t="s">
        <v>69</v>
      </c>
      <c r="P25" s="134" t="s">
        <v>69</v>
      </c>
      <c r="Q25" s="134" t="s">
        <v>69</v>
      </c>
      <c r="R25" s="140"/>
      <c r="S25" s="135"/>
      <c r="T25" s="135"/>
      <c r="V25" s="149"/>
      <c r="Y25" s="134"/>
      <c r="Z25" s="134"/>
    </row>
    <row r="26" spans="1:26" s="141" customFormat="1" x14ac:dyDescent="0.2">
      <c r="A26" s="141" t="s">
        <v>1305</v>
      </c>
      <c r="B26" s="134" t="s">
        <v>1306</v>
      </c>
      <c r="C26" s="135" t="s">
        <v>584</v>
      </c>
      <c r="D26" s="136">
        <v>42.946666999999998</v>
      </c>
      <c r="E26" s="136">
        <v>25.430278000000001</v>
      </c>
      <c r="F26" s="137">
        <v>42785</v>
      </c>
      <c r="G26" s="138">
        <v>43870</v>
      </c>
      <c r="H26" s="138">
        <v>41700</v>
      </c>
      <c r="I26" s="463" t="s">
        <v>1311</v>
      </c>
      <c r="J26" s="463" t="s">
        <v>69</v>
      </c>
      <c r="K26" s="139" t="s">
        <v>1308</v>
      </c>
      <c r="L26" s="140" t="s">
        <v>69</v>
      </c>
      <c r="M26" s="141" t="s">
        <v>1313</v>
      </c>
      <c r="N26" s="134" t="s">
        <v>69</v>
      </c>
      <c r="O26" s="134" t="s">
        <v>69</v>
      </c>
      <c r="P26" s="134" t="s">
        <v>69</v>
      </c>
      <c r="Q26" s="134" t="s">
        <v>69</v>
      </c>
      <c r="R26" s="140"/>
      <c r="S26" s="135"/>
      <c r="T26" s="135"/>
      <c r="V26" s="149"/>
      <c r="Y26" s="134"/>
      <c r="Z26" s="134"/>
    </row>
    <row r="27" spans="1:26" s="141" customFormat="1" x14ac:dyDescent="0.2">
      <c r="A27" s="141" t="s">
        <v>1305</v>
      </c>
      <c r="B27" s="134" t="s">
        <v>1306</v>
      </c>
      <c r="C27" s="135" t="s">
        <v>584</v>
      </c>
      <c r="D27" s="136">
        <v>42.946666999999998</v>
      </c>
      <c r="E27" s="136">
        <v>25.430278000000001</v>
      </c>
      <c r="F27" s="137">
        <v>42785</v>
      </c>
      <c r="G27" s="138">
        <v>43870</v>
      </c>
      <c r="H27" s="138">
        <v>41700</v>
      </c>
      <c r="I27" s="463" t="s">
        <v>1314</v>
      </c>
      <c r="J27" s="463" t="s">
        <v>69</v>
      </c>
      <c r="K27" s="139" t="s">
        <v>1308</v>
      </c>
      <c r="L27" s="140" t="s">
        <v>69</v>
      </c>
      <c r="M27" s="141" t="s">
        <v>1315</v>
      </c>
      <c r="N27" s="134" t="s">
        <v>69</v>
      </c>
      <c r="O27" s="134" t="s">
        <v>69</v>
      </c>
      <c r="P27" s="134" t="s">
        <v>69</v>
      </c>
      <c r="Q27" s="134" t="s">
        <v>69</v>
      </c>
      <c r="R27" s="140"/>
      <c r="S27" s="135"/>
      <c r="T27" s="135"/>
      <c r="V27" s="149"/>
      <c r="Y27" s="134"/>
      <c r="Z27" s="134"/>
    </row>
    <row r="28" spans="1:26" s="141" customFormat="1" x14ac:dyDescent="0.2">
      <c r="A28" s="141" t="s">
        <v>1305</v>
      </c>
      <c r="B28" s="134" t="s">
        <v>1306</v>
      </c>
      <c r="C28" s="135" t="s">
        <v>584</v>
      </c>
      <c r="D28" s="136">
        <v>42.946666999999998</v>
      </c>
      <c r="E28" s="136">
        <v>25.430278000000001</v>
      </c>
      <c r="F28" s="137">
        <v>42785</v>
      </c>
      <c r="G28" s="138">
        <v>43870</v>
      </c>
      <c r="H28" s="138">
        <v>41700</v>
      </c>
      <c r="I28" s="463" t="s">
        <v>1316</v>
      </c>
      <c r="J28" s="463" t="s">
        <v>69</v>
      </c>
      <c r="K28" s="139" t="s">
        <v>1308</v>
      </c>
      <c r="L28" s="140" t="s">
        <v>69</v>
      </c>
      <c r="M28" s="141" t="s">
        <v>1317</v>
      </c>
      <c r="N28" s="134" t="s">
        <v>69</v>
      </c>
      <c r="O28" s="134" t="s">
        <v>69</v>
      </c>
      <c r="P28" s="134" t="s">
        <v>69</v>
      </c>
      <c r="Q28" s="134" t="s">
        <v>69</v>
      </c>
      <c r="R28" s="140"/>
      <c r="S28" s="135"/>
      <c r="T28" s="135"/>
      <c r="V28" s="149"/>
      <c r="Y28" s="134"/>
      <c r="Z28" s="134"/>
    </row>
    <row r="29" spans="1:26" s="141" customFormat="1" x14ac:dyDescent="0.2">
      <c r="A29" s="141" t="s">
        <v>545</v>
      </c>
      <c r="B29" s="134" t="s">
        <v>1318</v>
      </c>
      <c r="C29" s="135" t="s">
        <v>233</v>
      </c>
      <c r="D29" s="136">
        <v>42.967230000000001</v>
      </c>
      <c r="E29" s="136">
        <v>16.707190000000001</v>
      </c>
      <c r="F29" s="137">
        <f>(G29+H29)/2</f>
        <v>7167.5</v>
      </c>
      <c r="G29" s="138">
        <v>7308</v>
      </c>
      <c r="H29" s="138">
        <v>7027</v>
      </c>
      <c r="I29" s="463" t="s">
        <v>1200</v>
      </c>
      <c r="J29" s="463" t="s">
        <v>575</v>
      </c>
      <c r="K29" s="139" t="s">
        <v>1319</v>
      </c>
      <c r="L29" s="140" t="s">
        <v>2</v>
      </c>
      <c r="M29" s="141" t="s">
        <v>1320</v>
      </c>
      <c r="N29" s="134" t="s">
        <v>1321</v>
      </c>
      <c r="O29" s="134" t="s">
        <v>69</v>
      </c>
      <c r="P29" s="134" t="s">
        <v>69</v>
      </c>
      <c r="Q29" s="134" t="s">
        <v>69</v>
      </c>
      <c r="R29" s="140"/>
      <c r="S29" s="135"/>
      <c r="T29" s="135"/>
      <c r="V29" s="149"/>
      <c r="Y29" s="134"/>
      <c r="Z29" s="134"/>
    </row>
    <row r="30" spans="1:26" s="141" customFormat="1" x14ac:dyDescent="0.2">
      <c r="A30" s="141" t="s">
        <v>1267</v>
      </c>
      <c r="B30" s="134" t="s">
        <v>1322</v>
      </c>
      <c r="C30" s="135" t="s">
        <v>1323</v>
      </c>
      <c r="D30" s="136">
        <v>48.53</v>
      </c>
      <c r="E30" s="136">
        <v>16.39</v>
      </c>
      <c r="F30" s="137">
        <f t="shared" ref="F30:F35" si="1">(G30+H30)/2</f>
        <v>28920</v>
      </c>
      <c r="G30" s="138">
        <v>29120</v>
      </c>
      <c r="H30" s="138">
        <v>28720</v>
      </c>
      <c r="I30" s="463" t="s">
        <v>8</v>
      </c>
      <c r="J30" s="463" t="s">
        <v>69</v>
      </c>
      <c r="K30" s="139" t="s">
        <v>1269</v>
      </c>
      <c r="L30" s="140" t="s">
        <v>14</v>
      </c>
      <c r="M30" s="141" t="s">
        <v>1324</v>
      </c>
      <c r="N30" s="134" t="s">
        <v>69</v>
      </c>
      <c r="O30" s="134" t="s">
        <v>69</v>
      </c>
      <c r="P30" s="134" t="s">
        <v>69</v>
      </c>
      <c r="Q30" s="134" t="s">
        <v>69</v>
      </c>
      <c r="R30" s="140"/>
      <c r="S30" s="135"/>
      <c r="T30" s="135"/>
      <c r="V30" s="149"/>
      <c r="Y30" s="134"/>
      <c r="Z30" s="134"/>
    </row>
    <row r="31" spans="1:26" s="141" customFormat="1" x14ac:dyDescent="0.2">
      <c r="A31" s="141" t="s">
        <v>1267</v>
      </c>
      <c r="B31" s="134" t="s">
        <v>1322</v>
      </c>
      <c r="C31" s="135" t="s">
        <v>1323</v>
      </c>
      <c r="D31" s="136">
        <v>48.53</v>
      </c>
      <c r="E31" s="136">
        <v>16.39</v>
      </c>
      <c r="F31" s="137">
        <f t="shared" si="1"/>
        <v>28060</v>
      </c>
      <c r="G31" s="138">
        <v>28760</v>
      </c>
      <c r="H31" s="138">
        <v>27360</v>
      </c>
      <c r="I31" s="463" t="s">
        <v>8</v>
      </c>
      <c r="J31" s="463" t="s">
        <v>2</v>
      </c>
      <c r="K31" s="139" t="s">
        <v>1269</v>
      </c>
      <c r="L31" s="140" t="s">
        <v>14</v>
      </c>
      <c r="M31" s="141" t="s">
        <v>1325</v>
      </c>
      <c r="N31" s="134" t="s">
        <v>69</v>
      </c>
      <c r="O31" s="134" t="s">
        <v>69</v>
      </c>
      <c r="P31" s="134" t="s">
        <v>69</v>
      </c>
      <c r="Q31" s="134" t="s">
        <v>69</v>
      </c>
      <c r="R31" s="140"/>
      <c r="S31" s="135"/>
      <c r="T31" s="135"/>
      <c r="V31" s="149"/>
      <c r="Y31" s="134"/>
      <c r="Z31" s="134"/>
    </row>
    <row r="32" spans="1:26" s="141" customFormat="1" x14ac:dyDescent="0.2">
      <c r="A32" s="141" t="s">
        <v>1267</v>
      </c>
      <c r="B32" s="134" t="s">
        <v>1322</v>
      </c>
      <c r="C32" s="135" t="s">
        <v>1323</v>
      </c>
      <c r="D32" s="136">
        <v>48.53</v>
      </c>
      <c r="E32" s="136">
        <v>16.39</v>
      </c>
      <c r="F32" s="137">
        <f t="shared" si="1"/>
        <v>28920</v>
      </c>
      <c r="G32" s="138">
        <v>29120</v>
      </c>
      <c r="H32" s="138">
        <v>28720</v>
      </c>
      <c r="I32" s="463" t="s">
        <v>9</v>
      </c>
      <c r="J32" s="463" t="s">
        <v>862</v>
      </c>
      <c r="K32" s="139" t="s">
        <v>1269</v>
      </c>
      <c r="L32" s="140" t="s">
        <v>14</v>
      </c>
      <c r="M32" s="141" t="s">
        <v>1326</v>
      </c>
      <c r="N32" s="134" t="s">
        <v>69</v>
      </c>
      <c r="O32" s="134" t="s">
        <v>69</v>
      </c>
      <c r="P32" s="134" t="s">
        <v>69</v>
      </c>
      <c r="Q32" s="134" t="s">
        <v>69</v>
      </c>
      <c r="R32" s="140"/>
      <c r="S32" s="135"/>
      <c r="T32" s="135"/>
      <c r="V32" s="149"/>
      <c r="Y32" s="134"/>
      <c r="Z32" s="134"/>
    </row>
    <row r="33" spans="1:26" s="141" customFormat="1" x14ac:dyDescent="0.2">
      <c r="A33" s="141" t="s">
        <v>1267</v>
      </c>
      <c r="B33" s="134" t="s">
        <v>1327</v>
      </c>
      <c r="C33" s="135" t="s">
        <v>1323</v>
      </c>
      <c r="D33" s="136">
        <v>48.53</v>
      </c>
      <c r="E33" s="136">
        <v>16.39</v>
      </c>
      <c r="F33" s="137">
        <f t="shared" si="1"/>
        <v>28310</v>
      </c>
      <c r="G33" s="138">
        <v>29160</v>
      </c>
      <c r="H33" s="138">
        <v>27460</v>
      </c>
      <c r="I33" s="463" t="s">
        <v>9</v>
      </c>
      <c r="J33" s="463" t="s">
        <v>1328</v>
      </c>
      <c r="K33" s="139" t="s">
        <v>1269</v>
      </c>
      <c r="L33" s="140" t="s">
        <v>14</v>
      </c>
      <c r="M33" s="141" t="s">
        <v>1329</v>
      </c>
      <c r="N33" s="134" t="s">
        <v>69</v>
      </c>
      <c r="O33" s="134" t="s">
        <v>69</v>
      </c>
      <c r="P33" s="134" t="s">
        <v>69</v>
      </c>
      <c r="Q33" s="134" t="s">
        <v>69</v>
      </c>
      <c r="R33" s="140"/>
      <c r="S33" s="135"/>
      <c r="T33" s="135"/>
      <c r="V33" s="149"/>
      <c r="Y33" s="134"/>
      <c r="Z33" s="134"/>
    </row>
    <row r="34" spans="1:26" s="141" customFormat="1" x14ac:dyDescent="0.2">
      <c r="A34" s="141" t="s">
        <v>1283</v>
      </c>
      <c r="B34" s="134" t="s">
        <v>1322</v>
      </c>
      <c r="C34" s="135" t="s">
        <v>1323</v>
      </c>
      <c r="D34" s="136">
        <v>48.53</v>
      </c>
      <c r="E34" s="136">
        <v>16.39</v>
      </c>
      <c r="F34" s="137">
        <f t="shared" si="1"/>
        <v>28060</v>
      </c>
      <c r="G34" s="138">
        <v>28760</v>
      </c>
      <c r="H34" s="138">
        <v>27360</v>
      </c>
      <c r="I34" s="463" t="s">
        <v>9</v>
      </c>
      <c r="J34" s="463" t="s">
        <v>147</v>
      </c>
      <c r="K34" s="139" t="s">
        <v>1330</v>
      </c>
      <c r="L34" s="140" t="s">
        <v>14</v>
      </c>
      <c r="M34" s="141" t="s">
        <v>1330</v>
      </c>
      <c r="N34" s="134" t="s">
        <v>1330</v>
      </c>
      <c r="O34" s="134" t="s">
        <v>69</v>
      </c>
      <c r="P34" s="134" t="s">
        <v>69</v>
      </c>
      <c r="Q34" s="134" t="s">
        <v>69</v>
      </c>
      <c r="R34" s="140"/>
      <c r="S34" s="135"/>
      <c r="T34" s="135"/>
      <c r="V34" s="149"/>
      <c r="Y34" s="134"/>
      <c r="Z34" s="134"/>
    </row>
    <row r="35" spans="1:26" s="141" customFormat="1" x14ac:dyDescent="0.2">
      <c r="A35" s="141" t="s">
        <v>1267</v>
      </c>
      <c r="B35" s="134" t="s">
        <v>1322</v>
      </c>
      <c r="C35" s="135" t="s">
        <v>1323</v>
      </c>
      <c r="D35" s="136">
        <v>48.53</v>
      </c>
      <c r="E35" s="136">
        <v>16.39</v>
      </c>
      <c r="F35" s="137">
        <f t="shared" si="1"/>
        <v>28920</v>
      </c>
      <c r="G35" s="138">
        <v>29120</v>
      </c>
      <c r="H35" s="138">
        <v>28720</v>
      </c>
      <c r="I35" s="463" t="s">
        <v>1331</v>
      </c>
      <c r="J35" s="463" t="s">
        <v>1332</v>
      </c>
      <c r="K35" s="139" t="s">
        <v>1269</v>
      </c>
      <c r="L35" s="140" t="s">
        <v>14</v>
      </c>
      <c r="M35" s="141" t="s">
        <v>1333</v>
      </c>
      <c r="N35" s="134" t="s">
        <v>69</v>
      </c>
      <c r="O35" s="134" t="s">
        <v>69</v>
      </c>
      <c r="P35" s="134" t="s">
        <v>69</v>
      </c>
      <c r="Q35" s="134" t="s">
        <v>69</v>
      </c>
      <c r="R35" s="140"/>
      <c r="S35" s="135"/>
      <c r="T35" s="135"/>
      <c r="V35" s="149"/>
      <c r="Y35" s="134"/>
      <c r="Z35" s="134"/>
    </row>
    <row r="36" spans="1:26" s="141" customFormat="1" x14ac:dyDescent="0.2">
      <c r="A36" s="141" t="s">
        <v>1334</v>
      </c>
      <c r="B36" s="134" t="s">
        <v>1335</v>
      </c>
      <c r="C36" s="135" t="s">
        <v>1336</v>
      </c>
      <c r="D36" s="136">
        <v>55.400241800000003</v>
      </c>
      <c r="E36" s="136">
        <v>10.1376516887579</v>
      </c>
      <c r="F36" s="137">
        <v>8500</v>
      </c>
      <c r="G36" s="138">
        <v>8600</v>
      </c>
      <c r="H36" s="138">
        <v>8400</v>
      </c>
      <c r="I36" s="463" t="s">
        <v>991</v>
      </c>
      <c r="J36" s="463" t="s">
        <v>69</v>
      </c>
      <c r="K36" s="139" t="s">
        <v>1337</v>
      </c>
      <c r="L36" s="140" t="s">
        <v>14</v>
      </c>
      <c r="M36" s="141" t="s">
        <v>1335</v>
      </c>
      <c r="N36" s="134"/>
      <c r="O36" s="134"/>
      <c r="P36" s="134"/>
      <c r="Q36" s="134"/>
      <c r="R36" s="140"/>
      <c r="S36" s="135"/>
      <c r="T36" s="135"/>
      <c r="V36" s="149"/>
      <c r="Y36" s="134"/>
      <c r="Z36" s="134"/>
    </row>
    <row r="37" spans="1:26" s="141" customFormat="1" x14ac:dyDescent="0.2">
      <c r="A37" s="141" t="s">
        <v>2246</v>
      </c>
      <c r="B37" s="134" t="s">
        <v>2127</v>
      </c>
      <c r="C37" s="135" t="s">
        <v>1336</v>
      </c>
      <c r="D37" s="136">
        <v>54.66</v>
      </c>
      <c r="E37" s="136">
        <v>11.35</v>
      </c>
      <c r="F37" s="137">
        <f>(G37+H37)/2</f>
        <v>3810.5</v>
      </c>
      <c r="G37" s="138">
        <v>3909</v>
      </c>
      <c r="H37" s="138">
        <v>3712</v>
      </c>
      <c r="I37" s="466" t="s">
        <v>4339</v>
      </c>
      <c r="J37" s="463" t="s">
        <v>69</v>
      </c>
      <c r="K37" s="139" t="s">
        <v>2128</v>
      </c>
      <c r="L37" s="140" t="s">
        <v>2</v>
      </c>
      <c r="M37" s="134" t="s">
        <v>2129</v>
      </c>
      <c r="N37" s="134" t="s">
        <v>69</v>
      </c>
      <c r="O37" s="134" t="s">
        <v>69</v>
      </c>
      <c r="P37" s="134" t="s">
        <v>69</v>
      </c>
      <c r="Q37" s="134" t="s">
        <v>69</v>
      </c>
      <c r="R37" s="477" t="s">
        <v>4335</v>
      </c>
      <c r="S37" s="135"/>
      <c r="T37" s="135"/>
      <c r="V37" s="149"/>
      <c r="Y37" s="134"/>
      <c r="Z37" s="134"/>
    </row>
    <row r="38" spans="1:26" s="141" customFormat="1" x14ac:dyDescent="0.2">
      <c r="A38" s="141" t="s">
        <v>2504</v>
      </c>
      <c r="B38" s="134" t="s">
        <v>2677</v>
      </c>
      <c r="C38" s="135" t="s">
        <v>1336</v>
      </c>
      <c r="D38" s="167">
        <v>55.393000000000001</v>
      </c>
      <c r="E38" s="167">
        <v>12.307</v>
      </c>
      <c r="F38" s="168">
        <v>7183.5</v>
      </c>
      <c r="G38" s="167">
        <v>7315</v>
      </c>
      <c r="H38" s="167">
        <v>7052</v>
      </c>
      <c r="I38" s="468" t="s">
        <v>4338</v>
      </c>
      <c r="J38" s="467" t="s">
        <v>2512</v>
      </c>
      <c r="K38" s="139"/>
      <c r="L38" s="140"/>
      <c r="M38" s="165" t="s">
        <v>2675</v>
      </c>
      <c r="N38" s="165" t="s">
        <v>2676</v>
      </c>
      <c r="O38" s="134"/>
      <c r="P38" s="134"/>
      <c r="Q38" s="134"/>
      <c r="R38" s="477" t="s">
        <v>4340</v>
      </c>
      <c r="S38" s="135"/>
      <c r="T38" s="135"/>
      <c r="V38" s="149"/>
      <c r="Y38" s="134"/>
      <c r="Z38" s="134"/>
    </row>
    <row r="39" spans="1:26" s="141" customFormat="1" x14ac:dyDescent="0.2">
      <c r="A39" s="141" t="s">
        <v>2504</v>
      </c>
      <c r="B39" s="134" t="s">
        <v>2709</v>
      </c>
      <c r="C39" s="135" t="s">
        <v>1336</v>
      </c>
      <c r="D39" s="167">
        <v>55.847999999999999</v>
      </c>
      <c r="E39" s="167">
        <v>12.56</v>
      </c>
      <c r="F39" s="168">
        <v>5864.5</v>
      </c>
      <c r="G39" s="167">
        <v>5985</v>
      </c>
      <c r="H39" s="167">
        <v>5744</v>
      </c>
      <c r="I39" s="469" t="s">
        <v>4338</v>
      </c>
      <c r="J39" s="467" t="s">
        <v>1063</v>
      </c>
      <c r="K39" s="139"/>
      <c r="L39" s="140"/>
      <c r="M39" s="165" t="s">
        <v>2707</v>
      </c>
      <c r="N39" s="165" t="s">
        <v>2708</v>
      </c>
      <c r="O39" s="134"/>
      <c r="P39" s="134"/>
      <c r="Q39" s="134"/>
      <c r="R39" s="477" t="s">
        <v>4340</v>
      </c>
      <c r="S39" s="135"/>
      <c r="T39" s="135"/>
      <c r="V39" s="149"/>
      <c r="Y39" s="134"/>
      <c r="Z39" s="134"/>
    </row>
    <row r="40" spans="1:26" s="141" customFormat="1" x14ac:dyDescent="0.2">
      <c r="A40" s="141" t="s">
        <v>2504</v>
      </c>
      <c r="B40" s="165" t="s">
        <v>2783</v>
      </c>
      <c r="C40" s="135" t="s">
        <v>1336</v>
      </c>
      <c r="D40" s="167">
        <v>55.249000000000002</v>
      </c>
      <c r="E40" s="167">
        <v>11.228</v>
      </c>
      <c r="F40" s="168">
        <v>5352</v>
      </c>
      <c r="G40" s="167">
        <v>5475</v>
      </c>
      <c r="H40" s="167">
        <v>5229</v>
      </c>
      <c r="I40" s="468" t="s">
        <v>4338</v>
      </c>
      <c r="J40" s="463" t="s">
        <v>69</v>
      </c>
      <c r="K40" s="139"/>
      <c r="L40" s="140"/>
      <c r="M40" s="165" t="s">
        <v>2787</v>
      </c>
      <c r="N40" s="165" t="s">
        <v>2788</v>
      </c>
      <c r="O40" s="134"/>
      <c r="P40" s="134"/>
      <c r="Q40" s="134"/>
      <c r="R40" s="477" t="s">
        <v>4340</v>
      </c>
      <c r="S40" s="135"/>
      <c r="T40" s="135"/>
      <c r="V40" s="149"/>
      <c r="Y40" s="134"/>
      <c r="Z40" s="134"/>
    </row>
    <row r="41" spans="1:26" s="141" customFormat="1" x14ac:dyDescent="0.2">
      <c r="A41" s="141" t="s">
        <v>2504</v>
      </c>
      <c r="B41" s="165" t="s">
        <v>2657</v>
      </c>
      <c r="C41" s="135" t="s">
        <v>1336</v>
      </c>
      <c r="D41" s="167">
        <v>56.250999999999998</v>
      </c>
      <c r="E41" s="167">
        <v>10.755000000000001</v>
      </c>
      <c r="F41" s="168">
        <v>4643.5</v>
      </c>
      <c r="G41" s="167">
        <v>4785</v>
      </c>
      <c r="H41" s="167">
        <v>4502</v>
      </c>
      <c r="I41" s="467" t="s">
        <v>2659</v>
      </c>
      <c r="J41" s="467" t="s">
        <v>1063</v>
      </c>
      <c r="K41" s="139"/>
      <c r="L41" s="140"/>
      <c r="M41" s="165" t="s">
        <v>2660</v>
      </c>
      <c r="O41" s="134"/>
      <c r="P41" s="134"/>
      <c r="Q41" s="134"/>
      <c r="R41" s="140"/>
      <c r="S41" s="135"/>
      <c r="T41" s="135"/>
      <c r="V41" s="149"/>
      <c r="Y41" s="134"/>
      <c r="Z41" s="134"/>
    </row>
    <row r="42" spans="1:26" s="141" customFormat="1" x14ac:dyDescent="0.2">
      <c r="A42" s="141" t="s">
        <v>2504</v>
      </c>
      <c r="B42" s="165" t="s">
        <v>2658</v>
      </c>
      <c r="C42" s="135" t="s">
        <v>1336</v>
      </c>
      <c r="D42" s="167">
        <v>56.146000000000001</v>
      </c>
      <c r="E42" s="167">
        <v>10.552</v>
      </c>
      <c r="F42" s="168">
        <v>4142</v>
      </c>
      <c r="G42" s="167">
        <v>4316</v>
      </c>
      <c r="H42" s="167">
        <v>3968</v>
      </c>
      <c r="I42" s="467" t="s">
        <v>62</v>
      </c>
      <c r="J42" s="467" t="s">
        <v>80</v>
      </c>
      <c r="K42" s="139"/>
      <c r="L42" s="140"/>
      <c r="M42" s="165" t="s">
        <v>2661</v>
      </c>
      <c r="O42" s="134"/>
      <c r="P42" s="134"/>
      <c r="Q42" s="134"/>
      <c r="S42" s="135"/>
      <c r="T42" s="135"/>
      <c r="V42" s="149"/>
      <c r="Y42" s="134"/>
      <c r="Z42" s="134"/>
    </row>
    <row r="43" spans="1:26" s="141" customFormat="1" x14ac:dyDescent="0.2">
      <c r="A43" s="141" t="s">
        <v>2504</v>
      </c>
      <c r="B43" s="134" t="s">
        <v>2663</v>
      </c>
      <c r="C43" s="135" t="s">
        <v>1336</v>
      </c>
      <c r="D43" s="169">
        <v>56.906999999999996</v>
      </c>
      <c r="E43" s="169">
        <v>9.5760000000000005</v>
      </c>
      <c r="F43" s="168">
        <v>7560.5</v>
      </c>
      <c r="G43" s="167">
        <v>7596</v>
      </c>
      <c r="H43" s="167">
        <v>7525</v>
      </c>
      <c r="I43" s="467" t="s">
        <v>956</v>
      </c>
      <c r="J43" s="467" t="s">
        <v>80</v>
      </c>
      <c r="K43" s="139"/>
      <c r="L43" s="140"/>
      <c r="M43" s="165" t="s">
        <v>2662</v>
      </c>
      <c r="N43" s="141" t="s">
        <v>2665</v>
      </c>
      <c r="O43" s="134"/>
      <c r="P43" s="134"/>
      <c r="Q43" s="134"/>
      <c r="R43" s="140"/>
      <c r="S43" s="135"/>
      <c r="T43" s="135"/>
      <c r="V43" s="149"/>
      <c r="Y43" s="134"/>
      <c r="Z43" s="134"/>
    </row>
    <row r="44" spans="1:26" s="141" customFormat="1" x14ac:dyDescent="0.2">
      <c r="A44" s="141" t="s">
        <v>2504</v>
      </c>
      <c r="B44" s="134" t="s">
        <v>2671</v>
      </c>
      <c r="C44" s="135" t="s">
        <v>1336</v>
      </c>
      <c r="D44" s="167">
        <v>56.27</v>
      </c>
      <c r="E44" s="167">
        <v>10.472</v>
      </c>
      <c r="F44" s="168">
        <v>6222</v>
      </c>
      <c r="G44" s="167">
        <v>6367</v>
      </c>
      <c r="H44" s="167">
        <v>6077</v>
      </c>
      <c r="I44" s="467" t="s">
        <v>2672</v>
      </c>
      <c r="J44" s="467" t="s">
        <v>2512</v>
      </c>
      <c r="K44" s="139"/>
      <c r="L44" s="140"/>
      <c r="M44" s="165" t="s">
        <v>2669</v>
      </c>
      <c r="N44" s="165" t="s">
        <v>2670</v>
      </c>
      <c r="O44" s="134"/>
      <c r="P44" s="134"/>
      <c r="Q44" s="134"/>
      <c r="R44" s="140"/>
      <c r="S44" s="135"/>
      <c r="T44" s="135"/>
      <c r="V44" s="149"/>
      <c r="Y44" s="134"/>
      <c r="Z44" s="134"/>
    </row>
    <row r="45" spans="1:26" s="141" customFormat="1" x14ac:dyDescent="0.2">
      <c r="A45" s="141" t="s">
        <v>2504</v>
      </c>
      <c r="B45" s="134" t="s">
        <v>2682</v>
      </c>
      <c r="C45" s="135" t="s">
        <v>1336</v>
      </c>
      <c r="D45" s="167">
        <v>54.96</v>
      </c>
      <c r="E45" s="167">
        <v>11.85</v>
      </c>
      <c r="F45" s="168">
        <v>6206</v>
      </c>
      <c r="G45" s="167">
        <v>6353</v>
      </c>
      <c r="H45" s="167">
        <v>6059</v>
      </c>
      <c r="I45" s="467" t="s">
        <v>2672</v>
      </c>
      <c r="J45" s="463" t="s">
        <v>69</v>
      </c>
      <c r="K45" s="139"/>
      <c r="L45" s="140"/>
      <c r="M45" s="165" t="s">
        <v>2678</v>
      </c>
      <c r="N45" s="165" t="s">
        <v>2679</v>
      </c>
      <c r="O45" s="134"/>
      <c r="P45" s="134"/>
      <c r="Q45" s="134"/>
      <c r="R45" s="140"/>
      <c r="S45" s="135"/>
      <c r="T45" s="135"/>
      <c r="V45" s="149"/>
      <c r="Y45" s="134"/>
      <c r="Z45" s="134"/>
    </row>
    <row r="46" spans="1:26" s="141" customFormat="1" x14ac:dyDescent="0.2">
      <c r="A46" s="141" t="s">
        <v>2504</v>
      </c>
      <c r="B46" s="134" t="s">
        <v>2682</v>
      </c>
      <c r="C46" s="135" t="s">
        <v>1336</v>
      </c>
      <c r="D46" s="167">
        <v>54.96</v>
      </c>
      <c r="E46" s="167">
        <v>11.85</v>
      </c>
      <c r="F46" s="168">
        <v>6227.5</v>
      </c>
      <c r="G46" s="167">
        <v>6371</v>
      </c>
      <c r="H46" s="167">
        <v>6084</v>
      </c>
      <c r="I46" s="467" t="s">
        <v>1388</v>
      </c>
      <c r="J46" s="463" t="s">
        <v>69</v>
      </c>
      <c r="K46" s="139"/>
      <c r="L46" s="140"/>
      <c r="M46" s="165" t="s">
        <v>2680</v>
      </c>
      <c r="N46" s="165" t="s">
        <v>2681</v>
      </c>
      <c r="O46" s="134"/>
      <c r="P46" s="134"/>
      <c r="Q46" s="134"/>
      <c r="R46" s="140"/>
      <c r="S46" s="135"/>
      <c r="T46" s="135"/>
      <c r="V46" s="149"/>
      <c r="Y46" s="134"/>
      <c r="Z46" s="134"/>
    </row>
    <row r="47" spans="1:26" s="141" customFormat="1" x14ac:dyDescent="0.2">
      <c r="A47" s="141" t="s">
        <v>2504</v>
      </c>
      <c r="B47" s="134" t="s">
        <v>1335</v>
      </c>
      <c r="C47" s="135" t="s">
        <v>1336</v>
      </c>
      <c r="D47" s="167">
        <v>55.404000000000003</v>
      </c>
      <c r="E47" s="167">
        <v>10.132999999999999</v>
      </c>
      <c r="F47" s="168">
        <v>8515</v>
      </c>
      <c r="G47" s="167">
        <v>8698</v>
      </c>
      <c r="H47" s="167">
        <v>8332</v>
      </c>
      <c r="I47" s="467" t="s">
        <v>991</v>
      </c>
      <c r="J47" s="467" t="s">
        <v>2512</v>
      </c>
      <c r="K47" s="139"/>
      <c r="L47" s="140"/>
      <c r="M47" s="165" t="s">
        <v>2683</v>
      </c>
      <c r="N47" s="165" t="s">
        <v>2684</v>
      </c>
      <c r="O47" s="134"/>
      <c r="P47" s="134"/>
      <c r="Q47" s="134"/>
      <c r="R47" s="140"/>
      <c r="S47" s="135"/>
      <c r="T47" s="135"/>
      <c r="V47" s="149"/>
      <c r="Y47" s="134"/>
      <c r="Z47" s="134"/>
    </row>
    <row r="48" spans="1:26" s="141" customFormat="1" x14ac:dyDescent="0.2">
      <c r="A48" s="141" t="s">
        <v>2504</v>
      </c>
      <c r="B48" s="165" t="s">
        <v>2691</v>
      </c>
      <c r="C48" s="135" t="s">
        <v>1336</v>
      </c>
      <c r="D48" s="167">
        <v>56.811999999999998</v>
      </c>
      <c r="E48" s="167">
        <v>9.1790000000000003</v>
      </c>
      <c r="F48" s="168">
        <v>4347</v>
      </c>
      <c r="G48" s="167">
        <v>4442</v>
      </c>
      <c r="H48" s="167">
        <v>4252</v>
      </c>
      <c r="I48" s="467" t="s">
        <v>510</v>
      </c>
      <c r="J48" s="467" t="s">
        <v>1063</v>
      </c>
      <c r="K48" s="139"/>
      <c r="L48" s="140"/>
      <c r="M48" s="166" t="s">
        <v>2685</v>
      </c>
      <c r="N48" s="166" t="s">
        <v>2686</v>
      </c>
      <c r="O48" s="134"/>
      <c r="P48" s="134"/>
      <c r="Q48" s="134"/>
      <c r="R48" s="140"/>
      <c r="S48" s="135"/>
      <c r="T48" s="135"/>
      <c r="V48" s="149"/>
      <c r="Y48" s="134"/>
      <c r="Z48" s="134"/>
    </row>
    <row r="49" spans="1:26" s="141" customFormat="1" x14ac:dyDescent="0.2">
      <c r="A49" s="141" t="s">
        <v>2504</v>
      </c>
      <c r="B49" s="165" t="s">
        <v>2691</v>
      </c>
      <c r="C49" s="135" t="s">
        <v>1336</v>
      </c>
      <c r="D49" s="167">
        <v>56.811999999999998</v>
      </c>
      <c r="E49" s="167">
        <v>9.1790000000000003</v>
      </c>
      <c r="F49" s="168">
        <v>4194.5</v>
      </c>
      <c r="G49" s="167">
        <v>4337</v>
      </c>
      <c r="H49" s="167">
        <v>4052</v>
      </c>
      <c r="I49" s="467" t="s">
        <v>1608</v>
      </c>
      <c r="J49" s="467" t="s">
        <v>1063</v>
      </c>
      <c r="K49" s="139"/>
      <c r="L49" s="140"/>
      <c r="M49" s="166" t="s">
        <v>2687</v>
      </c>
      <c r="N49" s="166" t="s">
        <v>2688</v>
      </c>
      <c r="O49" s="134"/>
      <c r="P49" s="134"/>
      <c r="Q49" s="134"/>
      <c r="R49" s="140"/>
      <c r="S49" s="135"/>
      <c r="T49" s="135"/>
      <c r="V49" s="149"/>
      <c r="Y49" s="134"/>
      <c r="Z49" s="134"/>
    </row>
    <row r="50" spans="1:26" s="141" customFormat="1" x14ac:dyDescent="0.2">
      <c r="A50" s="141" t="s">
        <v>2504</v>
      </c>
      <c r="B50" s="165" t="s">
        <v>2692</v>
      </c>
      <c r="C50" s="135" t="s">
        <v>1336</v>
      </c>
      <c r="D50" s="167">
        <v>56.401000000000003</v>
      </c>
      <c r="E50" s="167">
        <v>10.718</v>
      </c>
      <c r="F50" s="168">
        <v>4421.5</v>
      </c>
      <c r="G50" s="167">
        <v>4499</v>
      </c>
      <c r="H50" s="167">
        <v>4344</v>
      </c>
      <c r="I50" s="467" t="s">
        <v>1223</v>
      </c>
      <c r="J50" s="463" t="s">
        <v>69</v>
      </c>
      <c r="K50" s="139"/>
      <c r="L50" s="140"/>
      <c r="M50" s="166" t="s">
        <v>2689</v>
      </c>
      <c r="N50" s="166" t="s">
        <v>2690</v>
      </c>
      <c r="O50" s="134"/>
      <c r="P50" s="134"/>
      <c r="Q50" s="134"/>
      <c r="R50" s="140"/>
      <c r="S50" s="135"/>
      <c r="T50" s="135"/>
      <c r="V50" s="149"/>
      <c r="Y50" s="134"/>
      <c r="Z50" s="134"/>
    </row>
    <row r="51" spans="1:26" s="141" customFormat="1" x14ac:dyDescent="0.2">
      <c r="A51" s="141" t="s">
        <v>2504</v>
      </c>
      <c r="B51" s="165" t="s">
        <v>2701</v>
      </c>
      <c r="C51" s="135" t="s">
        <v>1336</v>
      </c>
      <c r="D51" s="167">
        <v>56.371000000000002</v>
      </c>
      <c r="E51" s="167">
        <v>10.573</v>
      </c>
      <c r="F51" s="168">
        <v>5030</v>
      </c>
      <c r="G51" s="167">
        <v>5208</v>
      </c>
      <c r="H51" s="167">
        <v>4852</v>
      </c>
      <c r="I51" s="467" t="s">
        <v>2672</v>
      </c>
      <c r="J51" s="463" t="s">
        <v>69</v>
      </c>
      <c r="K51" s="139"/>
      <c r="L51" s="140"/>
      <c r="M51" s="166" t="s">
        <v>2693</v>
      </c>
      <c r="N51" s="166" t="s">
        <v>2694</v>
      </c>
      <c r="O51" s="134"/>
      <c r="P51" s="134"/>
      <c r="Q51" s="134"/>
      <c r="R51" s="140"/>
      <c r="S51" s="135"/>
      <c r="T51" s="135"/>
      <c r="V51" s="149"/>
      <c r="Y51" s="134"/>
      <c r="Z51" s="134"/>
    </row>
    <row r="52" spans="1:26" s="141" customFormat="1" x14ac:dyDescent="0.2">
      <c r="A52" s="141" t="s">
        <v>2504</v>
      </c>
      <c r="B52" s="165" t="s">
        <v>2701</v>
      </c>
      <c r="C52" s="135" t="s">
        <v>1336</v>
      </c>
      <c r="D52" s="167">
        <v>56.371000000000002</v>
      </c>
      <c r="E52" s="167">
        <v>10.573</v>
      </c>
      <c r="F52" s="168">
        <v>5079.5</v>
      </c>
      <c r="G52" s="167">
        <v>5211</v>
      </c>
      <c r="H52" s="167">
        <v>4948</v>
      </c>
      <c r="I52" s="467" t="s">
        <v>991</v>
      </c>
      <c r="J52" s="467" t="s">
        <v>1063</v>
      </c>
      <c r="K52" s="139"/>
      <c r="L52" s="140"/>
      <c r="M52" s="166" t="s">
        <v>2695</v>
      </c>
      <c r="N52" s="166" t="s">
        <v>2696</v>
      </c>
      <c r="O52" s="134"/>
      <c r="P52" s="134"/>
      <c r="Q52" s="134"/>
      <c r="R52" s="140"/>
      <c r="S52" s="135"/>
      <c r="T52" s="135"/>
      <c r="V52" s="149"/>
      <c r="Y52" s="134"/>
      <c r="Z52" s="134"/>
    </row>
    <row r="53" spans="1:26" s="141" customFormat="1" x14ac:dyDescent="0.2">
      <c r="A53" s="141" t="s">
        <v>2504</v>
      </c>
      <c r="B53" s="165" t="s">
        <v>2702</v>
      </c>
      <c r="C53" s="135" t="s">
        <v>1336</v>
      </c>
      <c r="D53" s="167">
        <v>55.582999999999998</v>
      </c>
      <c r="E53" s="167">
        <v>11.551</v>
      </c>
      <c r="F53" s="168">
        <v>5427</v>
      </c>
      <c r="G53" s="167">
        <v>5527</v>
      </c>
      <c r="H53" s="167">
        <v>5327</v>
      </c>
      <c r="I53" s="467" t="s">
        <v>510</v>
      </c>
      <c r="J53" s="467" t="s">
        <v>2512</v>
      </c>
      <c r="K53" s="139"/>
      <c r="L53" s="140"/>
      <c r="M53" s="166" t="s">
        <v>2697</v>
      </c>
      <c r="N53" s="166" t="s">
        <v>2698</v>
      </c>
      <c r="O53" s="134"/>
      <c r="P53" s="134"/>
      <c r="Q53" s="134"/>
      <c r="R53" s="140"/>
      <c r="S53" s="135"/>
      <c r="T53" s="135"/>
      <c r="V53" s="149"/>
      <c r="Y53" s="134"/>
      <c r="Z53" s="134"/>
    </row>
    <row r="54" spans="1:26" s="141" customFormat="1" x14ac:dyDescent="0.2">
      <c r="A54" s="141" t="s">
        <v>2504</v>
      </c>
      <c r="B54" s="165" t="s">
        <v>2703</v>
      </c>
      <c r="C54" s="135" t="s">
        <v>1336</v>
      </c>
      <c r="D54" s="167">
        <v>55.331000000000003</v>
      </c>
      <c r="E54" s="167">
        <v>11.145</v>
      </c>
      <c r="F54" s="168">
        <v>5525</v>
      </c>
      <c r="G54" s="167">
        <v>5666</v>
      </c>
      <c r="H54" s="167">
        <v>5384</v>
      </c>
      <c r="I54" s="467" t="s">
        <v>2672</v>
      </c>
      <c r="J54" s="467" t="s">
        <v>2512</v>
      </c>
      <c r="K54" s="139"/>
      <c r="L54" s="140"/>
      <c r="M54" s="166" t="s">
        <v>2699</v>
      </c>
      <c r="N54" s="166" t="s">
        <v>2700</v>
      </c>
      <c r="O54" s="134"/>
      <c r="P54" s="134"/>
      <c r="Q54" s="134"/>
      <c r="R54" s="140"/>
      <c r="S54" s="135"/>
      <c r="T54" s="135"/>
      <c r="V54" s="149"/>
      <c r="Y54" s="134"/>
      <c r="Z54" s="134"/>
    </row>
    <row r="55" spans="1:26" s="141" customFormat="1" x14ac:dyDescent="0.2">
      <c r="A55" s="141" t="s">
        <v>2504</v>
      </c>
      <c r="B55" s="134" t="s">
        <v>2706</v>
      </c>
      <c r="C55" s="135" t="s">
        <v>1336</v>
      </c>
      <c r="D55" s="167">
        <v>55.948</v>
      </c>
      <c r="E55" s="167">
        <v>11.897</v>
      </c>
      <c r="F55" s="168">
        <v>4118</v>
      </c>
      <c r="G55" s="167">
        <v>4245</v>
      </c>
      <c r="H55" s="167">
        <v>3991</v>
      </c>
      <c r="I55" s="467" t="s">
        <v>184</v>
      </c>
      <c r="J55" s="463" t="s">
        <v>69</v>
      </c>
      <c r="K55" s="139"/>
      <c r="L55" s="140"/>
      <c r="M55" s="165" t="s">
        <v>2704</v>
      </c>
      <c r="N55" s="165" t="s">
        <v>2705</v>
      </c>
      <c r="O55" s="134"/>
      <c r="P55" s="134"/>
      <c r="Q55" s="134"/>
      <c r="R55" s="140"/>
      <c r="S55" s="135"/>
      <c r="T55" s="135"/>
      <c r="V55" s="149"/>
      <c r="Y55" s="134"/>
      <c r="Z55" s="134"/>
    </row>
    <row r="56" spans="1:26" s="141" customFormat="1" x14ac:dyDescent="0.2">
      <c r="A56" s="141" t="s">
        <v>2504</v>
      </c>
      <c r="B56" s="134" t="s">
        <v>2733</v>
      </c>
      <c r="C56" s="135" t="s">
        <v>1336</v>
      </c>
      <c r="D56" s="167">
        <v>55.395000000000003</v>
      </c>
      <c r="E56" s="167">
        <v>9.8260000000000005</v>
      </c>
      <c r="F56" s="168">
        <v>5571</v>
      </c>
      <c r="G56" s="167">
        <v>5662</v>
      </c>
      <c r="H56" s="167">
        <v>5480</v>
      </c>
      <c r="I56" s="467" t="s">
        <v>2672</v>
      </c>
      <c r="J56" s="463" t="s">
        <v>69</v>
      </c>
      <c r="K56" s="139"/>
      <c r="L56" s="140"/>
      <c r="M56" s="165" t="s">
        <v>2734</v>
      </c>
      <c r="N56" s="165" t="s">
        <v>2735</v>
      </c>
      <c r="O56" s="134"/>
      <c r="P56" s="134"/>
      <c r="Q56" s="134"/>
      <c r="R56" s="140"/>
      <c r="S56" s="135"/>
      <c r="T56" s="135"/>
      <c r="V56" s="149"/>
      <c r="Y56" s="134"/>
      <c r="Z56" s="134"/>
    </row>
    <row r="57" spans="1:26" s="141" customFormat="1" x14ac:dyDescent="0.2">
      <c r="A57" s="141" t="s">
        <v>2504</v>
      </c>
      <c r="B57" s="134" t="s">
        <v>2653</v>
      </c>
      <c r="C57" s="135" t="s">
        <v>1336</v>
      </c>
      <c r="D57" s="167">
        <v>55.768000000000001</v>
      </c>
      <c r="E57" s="167">
        <v>11.388</v>
      </c>
      <c r="F57" s="168">
        <v>4861.5</v>
      </c>
      <c r="G57" s="167">
        <v>4936</v>
      </c>
      <c r="H57" s="167">
        <v>4787</v>
      </c>
      <c r="I57" s="467" t="s">
        <v>1200</v>
      </c>
      <c r="J57" s="463" t="s">
        <v>69</v>
      </c>
      <c r="K57" s="139"/>
      <c r="L57" s="140"/>
      <c r="M57" s="165" t="s">
        <v>2736</v>
      </c>
      <c r="N57" s="165" t="s">
        <v>2737</v>
      </c>
      <c r="O57" s="134"/>
      <c r="P57" s="134"/>
      <c r="Q57" s="134"/>
      <c r="R57" s="140"/>
      <c r="S57" s="135"/>
      <c r="T57" s="135"/>
      <c r="V57" s="149"/>
      <c r="Y57" s="134"/>
      <c r="Z57" s="134"/>
    </row>
    <row r="58" spans="1:26" s="141" customFormat="1" x14ac:dyDescent="0.2">
      <c r="A58" s="141" t="s">
        <v>2504</v>
      </c>
      <c r="B58" s="134" t="s">
        <v>2653</v>
      </c>
      <c r="C58" s="135" t="s">
        <v>1336</v>
      </c>
      <c r="D58" s="167">
        <v>55.768000000000001</v>
      </c>
      <c r="E58" s="167">
        <v>11.388</v>
      </c>
      <c r="F58" s="168">
        <v>4868.5</v>
      </c>
      <c r="G58" s="167">
        <v>4941</v>
      </c>
      <c r="H58" s="167">
        <v>4796</v>
      </c>
      <c r="I58" s="467" t="s">
        <v>1200</v>
      </c>
      <c r="J58" s="463" t="s">
        <v>69</v>
      </c>
      <c r="K58" s="139"/>
      <c r="L58" s="140"/>
      <c r="M58" s="165" t="s">
        <v>2738</v>
      </c>
      <c r="N58" s="165" t="s">
        <v>2739</v>
      </c>
      <c r="O58" s="134"/>
      <c r="P58" s="134"/>
      <c r="Q58" s="134"/>
      <c r="R58" s="140"/>
      <c r="S58" s="135"/>
      <c r="T58" s="135"/>
      <c r="V58" s="149"/>
      <c r="Y58" s="134"/>
      <c r="Z58" s="134"/>
    </row>
    <row r="59" spans="1:26" s="141" customFormat="1" x14ac:dyDescent="0.2">
      <c r="A59" s="141" t="s">
        <v>2504</v>
      </c>
      <c r="B59" s="165" t="s">
        <v>2752</v>
      </c>
      <c r="C59" s="135" t="s">
        <v>1336</v>
      </c>
      <c r="D59" s="167">
        <v>55.853000000000002</v>
      </c>
      <c r="E59" s="167">
        <v>12.558999999999999</v>
      </c>
      <c r="F59" s="168">
        <v>4851</v>
      </c>
      <c r="G59" s="168">
        <v>4986</v>
      </c>
      <c r="H59" s="168">
        <v>4716</v>
      </c>
      <c r="I59" s="467" t="s">
        <v>2754</v>
      </c>
      <c r="J59" s="467" t="s">
        <v>1063</v>
      </c>
      <c r="K59" s="139"/>
      <c r="L59" s="140"/>
      <c r="M59" s="165" t="s">
        <v>2740</v>
      </c>
      <c r="N59" s="165" t="s">
        <v>2741</v>
      </c>
      <c r="O59" s="134"/>
      <c r="P59" s="134"/>
      <c r="Q59" s="134"/>
      <c r="R59" s="140"/>
      <c r="S59" s="135"/>
      <c r="T59" s="135"/>
      <c r="V59" s="149"/>
      <c r="Y59" s="134"/>
      <c r="Z59" s="134"/>
    </row>
    <row r="60" spans="1:26" s="141" customFormat="1" x14ac:dyDescent="0.2">
      <c r="A60" s="141" t="s">
        <v>2504</v>
      </c>
      <c r="B60" s="165" t="s">
        <v>2752</v>
      </c>
      <c r="C60" s="135" t="s">
        <v>1336</v>
      </c>
      <c r="D60" s="167">
        <v>55.853000000000002</v>
      </c>
      <c r="E60" s="167">
        <v>12.558999999999999</v>
      </c>
      <c r="F60" s="168">
        <v>5035.5</v>
      </c>
      <c r="G60" s="168">
        <v>5216</v>
      </c>
      <c r="H60" s="168">
        <v>4855</v>
      </c>
      <c r="I60" s="467" t="s">
        <v>1620</v>
      </c>
      <c r="J60" s="467" t="s">
        <v>80</v>
      </c>
      <c r="K60" s="139"/>
      <c r="L60" s="140"/>
      <c r="M60" s="165" t="s">
        <v>2742</v>
      </c>
      <c r="N60" s="170" t="s">
        <v>2743</v>
      </c>
      <c r="O60" s="134"/>
      <c r="P60" s="134"/>
      <c r="Q60" s="134"/>
      <c r="R60" s="140"/>
      <c r="S60" s="135"/>
      <c r="T60" s="135"/>
      <c r="V60" s="149"/>
      <c r="Y60" s="134"/>
      <c r="Z60" s="134"/>
    </row>
    <row r="61" spans="1:26" s="141" customFormat="1" x14ac:dyDescent="0.2">
      <c r="A61" s="141" t="s">
        <v>2504</v>
      </c>
      <c r="B61" s="165" t="s">
        <v>2752</v>
      </c>
      <c r="C61" s="135" t="s">
        <v>1336</v>
      </c>
      <c r="D61" s="167">
        <v>55.853000000000002</v>
      </c>
      <c r="E61" s="167">
        <v>12.558999999999999</v>
      </c>
      <c r="F61" s="168">
        <v>4777.5</v>
      </c>
      <c r="G61" s="168">
        <v>4942</v>
      </c>
      <c r="H61" s="168">
        <v>4613</v>
      </c>
      <c r="I61" s="467" t="s">
        <v>184</v>
      </c>
      <c r="J61" s="467" t="s">
        <v>2512</v>
      </c>
      <c r="K61" s="139"/>
      <c r="L61" s="140"/>
      <c r="M61" s="165" t="s">
        <v>2744</v>
      </c>
      <c r="N61" s="170" t="s">
        <v>2745</v>
      </c>
      <c r="O61" s="134"/>
      <c r="P61" s="134"/>
      <c r="Q61" s="134"/>
      <c r="R61" s="140"/>
      <c r="S61" s="135"/>
      <c r="T61" s="135"/>
      <c r="V61" s="149"/>
      <c r="Y61" s="134"/>
      <c r="Z61" s="134"/>
    </row>
    <row r="62" spans="1:26" s="141" customFormat="1" x14ac:dyDescent="0.2">
      <c r="A62" s="141" t="s">
        <v>2504</v>
      </c>
      <c r="B62" s="165" t="s">
        <v>2752</v>
      </c>
      <c r="C62" s="135" t="s">
        <v>1336</v>
      </c>
      <c r="D62" s="167">
        <v>55.853000000000002</v>
      </c>
      <c r="E62" s="167">
        <v>12.558999999999999</v>
      </c>
      <c r="F62" s="168">
        <v>5179</v>
      </c>
      <c r="G62" s="168">
        <v>5357</v>
      </c>
      <c r="H62" s="168">
        <v>5001</v>
      </c>
      <c r="I62" s="467" t="s">
        <v>2754</v>
      </c>
      <c r="J62" s="467" t="s">
        <v>1063</v>
      </c>
      <c r="K62" s="139"/>
      <c r="L62" s="140"/>
      <c r="M62" s="165" t="s">
        <v>2746</v>
      </c>
      <c r="N62" s="165" t="s">
        <v>2747</v>
      </c>
      <c r="O62" s="134"/>
      <c r="P62" s="134"/>
      <c r="Q62" s="134"/>
      <c r="R62" s="140"/>
      <c r="S62" s="135"/>
      <c r="T62" s="135"/>
      <c r="V62" s="149"/>
      <c r="Y62" s="134"/>
      <c r="Z62" s="134"/>
    </row>
    <row r="63" spans="1:26" s="141" customFormat="1" x14ac:dyDescent="0.2">
      <c r="A63" s="141" t="s">
        <v>2504</v>
      </c>
      <c r="B63" s="165" t="s">
        <v>2752</v>
      </c>
      <c r="C63" s="135" t="s">
        <v>1336</v>
      </c>
      <c r="D63" s="167">
        <v>55.853000000000002</v>
      </c>
      <c r="E63" s="167">
        <v>12.558999999999999</v>
      </c>
      <c r="F63" s="168">
        <v>5121.5</v>
      </c>
      <c r="G63" s="168">
        <v>5308</v>
      </c>
      <c r="H63" s="168">
        <v>4935</v>
      </c>
      <c r="I63" s="467" t="s">
        <v>2754</v>
      </c>
      <c r="J63" s="467" t="s">
        <v>2512</v>
      </c>
      <c r="K63" s="139"/>
      <c r="L63" s="140"/>
      <c r="M63" s="165" t="s">
        <v>2748</v>
      </c>
      <c r="N63" s="165" t="s">
        <v>2749</v>
      </c>
      <c r="O63" s="134"/>
      <c r="P63" s="134"/>
      <c r="Q63" s="134"/>
      <c r="R63" s="140"/>
      <c r="S63" s="135"/>
      <c r="T63" s="135"/>
      <c r="V63" s="149"/>
      <c r="Y63" s="134"/>
      <c r="Z63" s="134"/>
    </row>
    <row r="64" spans="1:26" s="141" customFormat="1" x14ac:dyDescent="0.2">
      <c r="A64" s="141" t="s">
        <v>2504</v>
      </c>
      <c r="B64" s="165" t="s">
        <v>2753</v>
      </c>
      <c r="C64" s="135" t="s">
        <v>1336</v>
      </c>
      <c r="D64" s="167">
        <v>56.874000000000002</v>
      </c>
      <c r="E64" s="167">
        <v>9.2149999999999999</v>
      </c>
      <c r="F64" s="168">
        <v>4365</v>
      </c>
      <c r="G64" s="168">
        <v>4455</v>
      </c>
      <c r="H64" s="168">
        <v>4275</v>
      </c>
      <c r="I64" s="467" t="s">
        <v>1560</v>
      </c>
      <c r="J64" s="467" t="s">
        <v>1063</v>
      </c>
      <c r="K64" s="139"/>
      <c r="L64" s="140"/>
      <c r="M64" s="165" t="s">
        <v>2750</v>
      </c>
      <c r="N64" s="165" t="s">
        <v>2751</v>
      </c>
      <c r="O64" s="134"/>
      <c r="P64" s="134"/>
      <c r="Q64" s="134"/>
      <c r="R64" s="140"/>
      <c r="S64" s="135"/>
      <c r="T64" s="135"/>
      <c r="V64" s="149"/>
      <c r="Y64" s="134"/>
      <c r="Z64" s="134"/>
    </row>
    <row r="65" spans="1:26" s="141" customFormat="1" x14ac:dyDescent="0.2">
      <c r="A65" s="141" t="s">
        <v>2504</v>
      </c>
      <c r="B65" s="134" t="s">
        <v>2757</v>
      </c>
      <c r="C65" s="135" t="s">
        <v>1336</v>
      </c>
      <c r="D65" s="167">
        <v>55.402000000000001</v>
      </c>
      <c r="E65" s="167">
        <v>12.367000000000001</v>
      </c>
      <c r="F65" s="168">
        <v>7090</v>
      </c>
      <c r="G65" s="167">
        <v>7314</v>
      </c>
      <c r="H65" s="167">
        <v>6866</v>
      </c>
      <c r="I65" s="467" t="s">
        <v>2758</v>
      </c>
      <c r="J65" s="467" t="s">
        <v>1063</v>
      </c>
      <c r="K65" s="139"/>
      <c r="L65" s="140"/>
      <c r="M65" s="165" t="s">
        <v>2755</v>
      </c>
      <c r="N65" s="165" t="s">
        <v>2756</v>
      </c>
      <c r="O65" s="134"/>
      <c r="P65" s="134"/>
      <c r="Q65" s="134"/>
      <c r="R65" s="140"/>
      <c r="S65" s="135"/>
      <c r="T65" s="135"/>
      <c r="V65" s="149"/>
      <c r="Y65" s="134"/>
      <c r="Z65" s="134"/>
    </row>
    <row r="66" spans="1:26" s="141" customFormat="1" x14ac:dyDescent="0.2">
      <c r="A66" s="141" t="s">
        <v>2726</v>
      </c>
      <c r="B66" s="134" t="s">
        <v>2703</v>
      </c>
      <c r="C66" s="135" t="s">
        <v>1336</v>
      </c>
      <c r="D66" s="167">
        <v>55.331000000000003</v>
      </c>
      <c r="E66" s="167">
        <v>11.145</v>
      </c>
      <c r="F66" s="168">
        <v>5083</v>
      </c>
      <c r="G66" s="167">
        <v>5211</v>
      </c>
      <c r="H66" s="167">
        <v>4955</v>
      </c>
      <c r="I66" s="467" t="s">
        <v>510</v>
      </c>
      <c r="J66" s="467" t="s">
        <v>1063</v>
      </c>
      <c r="K66" s="139"/>
      <c r="L66" s="140"/>
      <c r="M66" s="165" t="s">
        <v>2767</v>
      </c>
      <c r="N66" s="165" t="s">
        <v>2768</v>
      </c>
      <c r="O66" s="134"/>
      <c r="P66" s="134"/>
      <c r="Q66" s="134"/>
      <c r="R66" s="140"/>
      <c r="S66" s="135"/>
      <c r="T66" s="135"/>
      <c r="V66" s="149"/>
      <c r="Y66" s="134"/>
      <c r="Z66" s="134"/>
    </row>
    <row r="67" spans="1:26" s="141" customFormat="1" x14ac:dyDescent="0.2">
      <c r="A67" s="141" t="s">
        <v>2504</v>
      </c>
      <c r="B67" s="134" t="s">
        <v>2761</v>
      </c>
      <c r="C67" s="135" t="s">
        <v>1336</v>
      </c>
      <c r="D67" s="167">
        <v>55.585999999999999</v>
      </c>
      <c r="E67" s="167">
        <v>11.538</v>
      </c>
      <c r="F67" s="168">
        <v>5165</v>
      </c>
      <c r="G67" s="167">
        <v>5301</v>
      </c>
      <c r="H67" s="167">
        <v>5029</v>
      </c>
      <c r="I67" s="470" t="s">
        <v>1620</v>
      </c>
      <c r="J67" s="463" t="s">
        <v>69</v>
      </c>
      <c r="K67" s="139"/>
      <c r="L67" s="140"/>
      <c r="M67" s="165" t="s">
        <v>2759</v>
      </c>
      <c r="N67" s="165" t="s">
        <v>2760</v>
      </c>
      <c r="O67" s="134"/>
      <c r="P67" s="134"/>
      <c r="Q67" s="134"/>
      <c r="R67" s="140"/>
      <c r="S67" s="135"/>
      <c r="T67" s="135"/>
      <c r="V67" s="149"/>
      <c r="Y67" s="134"/>
      <c r="Z67" s="134"/>
    </row>
    <row r="68" spans="1:26" s="141" customFormat="1" x14ac:dyDescent="0.2">
      <c r="A68" s="141" t="s">
        <v>2504</v>
      </c>
      <c r="B68" s="134" t="s">
        <v>2653</v>
      </c>
      <c r="C68" s="135" t="s">
        <v>1336</v>
      </c>
      <c r="D68" s="167">
        <v>55.768000000000001</v>
      </c>
      <c r="E68" s="167">
        <v>11.388</v>
      </c>
      <c r="F68" s="168">
        <v>5023</v>
      </c>
      <c r="G68" s="167">
        <v>5209</v>
      </c>
      <c r="H68" s="167">
        <v>4837</v>
      </c>
      <c r="I68" s="470" t="s">
        <v>2672</v>
      </c>
      <c r="J68" s="463" t="s">
        <v>69</v>
      </c>
      <c r="K68" s="139"/>
      <c r="L68" s="140"/>
      <c r="M68" s="165" t="s">
        <v>2762</v>
      </c>
      <c r="N68" s="165" t="s">
        <v>2763</v>
      </c>
      <c r="O68" s="134"/>
      <c r="P68" s="134"/>
      <c r="Q68" s="134"/>
      <c r="R68" s="140"/>
      <c r="S68" s="135"/>
      <c r="T68" s="135"/>
      <c r="V68" s="149"/>
      <c r="Y68" s="134"/>
      <c r="Z68" s="134"/>
    </row>
    <row r="69" spans="1:26" s="141" customFormat="1" x14ac:dyDescent="0.2">
      <c r="A69" s="141" t="s">
        <v>2504</v>
      </c>
      <c r="B69" s="165" t="s">
        <v>2769</v>
      </c>
      <c r="C69" s="135" t="s">
        <v>1336</v>
      </c>
      <c r="D69" s="167">
        <v>56.027000000000001</v>
      </c>
      <c r="E69" s="167">
        <v>10.257</v>
      </c>
      <c r="F69" s="168">
        <v>4355.5</v>
      </c>
      <c r="G69" s="167">
        <v>4446</v>
      </c>
      <c r="H69" s="167">
        <v>4265</v>
      </c>
      <c r="I69" s="467" t="s">
        <v>510</v>
      </c>
      <c r="J69" s="463" t="s">
        <v>69</v>
      </c>
      <c r="K69" s="139"/>
      <c r="L69" s="140"/>
      <c r="M69" s="165" t="s">
        <v>2774</v>
      </c>
      <c r="N69" s="165" t="s">
        <v>2775</v>
      </c>
      <c r="O69" s="134"/>
      <c r="P69" s="134"/>
      <c r="Q69" s="134"/>
      <c r="R69" s="140"/>
      <c r="S69" s="135"/>
      <c r="T69" s="135"/>
      <c r="V69" s="149"/>
      <c r="Y69" s="134"/>
      <c r="Z69" s="134"/>
    </row>
    <row r="70" spans="1:26" s="141" customFormat="1" x14ac:dyDescent="0.2">
      <c r="A70" s="141" t="s">
        <v>2504</v>
      </c>
      <c r="B70" s="165" t="s">
        <v>2770</v>
      </c>
      <c r="C70" s="135" t="s">
        <v>1336</v>
      </c>
      <c r="D70" s="167">
        <v>55.545000000000002</v>
      </c>
      <c r="E70" s="167">
        <v>10.622</v>
      </c>
      <c r="F70" s="168">
        <v>4094.5</v>
      </c>
      <c r="G70" s="167">
        <v>4239</v>
      </c>
      <c r="H70" s="167">
        <v>3950</v>
      </c>
      <c r="I70" s="467" t="s">
        <v>184</v>
      </c>
      <c r="J70" s="463" t="s">
        <v>69</v>
      </c>
      <c r="K70" s="139"/>
      <c r="L70" s="140"/>
      <c r="M70" s="165" t="s">
        <v>2776</v>
      </c>
      <c r="N70" s="165" t="s">
        <v>2777</v>
      </c>
      <c r="O70" s="134"/>
      <c r="P70" s="134"/>
      <c r="Q70" s="134"/>
      <c r="R70" s="140"/>
      <c r="S70" s="135"/>
      <c r="T70" s="135"/>
      <c r="V70" s="149"/>
      <c r="Y70" s="134"/>
      <c r="Z70" s="134"/>
    </row>
    <row r="71" spans="1:26" s="141" customFormat="1" x14ac:dyDescent="0.2">
      <c r="A71" s="141" t="s">
        <v>2504</v>
      </c>
      <c r="B71" s="165" t="s">
        <v>2771</v>
      </c>
      <c r="C71" s="135" t="s">
        <v>1336</v>
      </c>
      <c r="D71" s="167">
        <v>56.401000000000003</v>
      </c>
      <c r="E71" s="167">
        <v>10.715</v>
      </c>
      <c r="F71" s="168">
        <v>4348.5</v>
      </c>
      <c r="G71" s="167">
        <v>4444</v>
      </c>
      <c r="H71" s="167">
        <v>4253</v>
      </c>
      <c r="I71" s="467" t="s">
        <v>2773</v>
      </c>
      <c r="J71" s="467" t="s">
        <v>2512</v>
      </c>
      <c r="K71" s="139"/>
      <c r="L71" s="140"/>
      <c r="M71" s="165" t="s">
        <v>2778</v>
      </c>
      <c r="N71" s="165" t="s">
        <v>2779</v>
      </c>
      <c r="O71" s="134"/>
      <c r="P71" s="134"/>
      <c r="Q71" s="134"/>
      <c r="R71" s="140"/>
      <c r="S71" s="135"/>
      <c r="T71" s="135"/>
      <c r="V71" s="149"/>
      <c r="Y71" s="134"/>
      <c r="Z71" s="134"/>
    </row>
    <row r="72" spans="1:26" s="141" customFormat="1" x14ac:dyDescent="0.2">
      <c r="A72" s="141" t="s">
        <v>2504</v>
      </c>
      <c r="B72" s="165" t="s">
        <v>2772</v>
      </c>
      <c r="C72" s="135" t="s">
        <v>1336</v>
      </c>
      <c r="D72" s="167">
        <v>56.365000000000002</v>
      </c>
      <c r="E72" s="167">
        <v>10.643000000000001</v>
      </c>
      <c r="F72" s="168">
        <v>4827.5</v>
      </c>
      <c r="G72" s="167">
        <v>4938</v>
      </c>
      <c r="H72" s="167">
        <v>4717</v>
      </c>
      <c r="I72" s="467" t="s">
        <v>2672</v>
      </c>
      <c r="J72" s="463" t="s">
        <v>69</v>
      </c>
      <c r="K72" s="139"/>
      <c r="L72" s="140"/>
      <c r="M72" s="165" t="s">
        <v>2780</v>
      </c>
      <c r="N72" s="165" t="s">
        <v>2781</v>
      </c>
      <c r="O72" s="134"/>
      <c r="P72" s="134"/>
      <c r="Q72" s="134"/>
      <c r="R72" s="140"/>
      <c r="S72" s="135"/>
      <c r="T72" s="135"/>
      <c r="V72" s="149"/>
      <c r="Y72" s="134"/>
      <c r="Z72" s="134"/>
    </row>
    <row r="73" spans="1:26" s="141" customFormat="1" x14ac:dyDescent="0.2">
      <c r="A73" s="141" t="s">
        <v>2504</v>
      </c>
      <c r="B73" s="165" t="s">
        <v>2782</v>
      </c>
      <c r="C73" s="135" t="s">
        <v>1336</v>
      </c>
      <c r="D73" s="167">
        <v>56.4</v>
      </c>
      <c r="E73" s="167">
        <v>10.714</v>
      </c>
      <c r="F73" s="168">
        <v>4942</v>
      </c>
      <c r="G73" s="167">
        <v>5038</v>
      </c>
      <c r="H73" s="167">
        <v>4846</v>
      </c>
      <c r="I73" s="467" t="s">
        <v>1560</v>
      </c>
      <c r="J73" s="467" t="s">
        <v>1063</v>
      </c>
      <c r="K73" s="139"/>
      <c r="L73" s="140"/>
      <c r="M73" s="165" t="s">
        <v>2785</v>
      </c>
      <c r="N73" s="165" t="s">
        <v>2786</v>
      </c>
      <c r="O73" s="134"/>
      <c r="P73" s="134"/>
      <c r="Q73" s="134"/>
      <c r="R73" s="140"/>
      <c r="S73" s="135"/>
      <c r="T73" s="135"/>
      <c r="V73" s="149"/>
      <c r="Y73" s="134"/>
      <c r="Z73" s="134"/>
    </row>
    <row r="74" spans="1:26" s="141" customFormat="1" x14ac:dyDescent="0.2">
      <c r="A74" s="141" t="s">
        <v>2504</v>
      </c>
      <c r="B74" s="165" t="s">
        <v>2784</v>
      </c>
      <c r="C74" s="135" t="s">
        <v>1336</v>
      </c>
      <c r="D74" s="167">
        <v>56.709000000000003</v>
      </c>
      <c r="E74" s="167">
        <v>10.170999999999999</v>
      </c>
      <c r="F74" s="168">
        <v>4424</v>
      </c>
      <c r="G74" s="167">
        <v>4496</v>
      </c>
      <c r="H74" s="167">
        <v>4352</v>
      </c>
      <c r="I74" s="467" t="s">
        <v>2773</v>
      </c>
      <c r="J74" s="463" t="s">
        <v>69</v>
      </c>
      <c r="K74" s="139"/>
      <c r="L74" s="140"/>
      <c r="M74" s="165" t="s">
        <v>2789</v>
      </c>
      <c r="N74" s="165" t="s">
        <v>2790</v>
      </c>
      <c r="O74" s="134"/>
      <c r="P74" s="134"/>
      <c r="Q74" s="134"/>
      <c r="R74" s="140"/>
      <c r="S74" s="135"/>
      <c r="T74" s="135"/>
      <c r="V74" s="149"/>
      <c r="Y74" s="134"/>
      <c r="Z74" s="134"/>
    </row>
    <row r="75" spans="1:26" s="141" customFormat="1" x14ac:dyDescent="0.2">
      <c r="A75" s="141" t="s">
        <v>1288</v>
      </c>
      <c r="B75" s="134" t="s">
        <v>1356</v>
      </c>
      <c r="C75" s="135" t="s">
        <v>895</v>
      </c>
      <c r="D75" s="136">
        <v>45</v>
      </c>
      <c r="E75" s="136">
        <v>1.083</v>
      </c>
      <c r="F75" s="137">
        <f>(G75+H75)/2</f>
        <v>21680</v>
      </c>
      <c r="G75" s="138">
        <v>21810</v>
      </c>
      <c r="H75" s="138">
        <v>21550</v>
      </c>
      <c r="I75" s="463" t="s">
        <v>14</v>
      </c>
      <c r="J75" s="463" t="s">
        <v>69</v>
      </c>
      <c r="K75" s="139" t="s">
        <v>1269</v>
      </c>
      <c r="L75" s="140" t="s">
        <v>69</v>
      </c>
      <c r="M75" s="141" t="s">
        <v>1357</v>
      </c>
      <c r="N75" s="134" t="s">
        <v>1357</v>
      </c>
      <c r="O75" s="134" t="s">
        <v>1358</v>
      </c>
      <c r="P75" s="134" t="s">
        <v>69</v>
      </c>
      <c r="Q75" s="134" t="s">
        <v>69</v>
      </c>
      <c r="R75" s="140"/>
      <c r="S75" s="135"/>
      <c r="T75" s="135"/>
      <c r="V75" s="149"/>
      <c r="Y75" s="134"/>
      <c r="Z75" s="134"/>
    </row>
    <row r="76" spans="1:26" s="141" customFormat="1" x14ac:dyDescent="0.2">
      <c r="A76" s="141" t="s">
        <v>1267</v>
      </c>
      <c r="B76" s="134" t="s">
        <v>1359</v>
      </c>
      <c r="C76" s="135" t="s">
        <v>895</v>
      </c>
      <c r="D76" s="136">
        <v>47.23</v>
      </c>
      <c r="E76" s="136">
        <v>6.1</v>
      </c>
      <c r="F76" s="137">
        <f>(G76+H76)/2</f>
        <v>13515</v>
      </c>
      <c r="G76" s="138">
        <v>13740</v>
      </c>
      <c r="H76" s="138">
        <v>13290</v>
      </c>
      <c r="I76" s="463" t="s">
        <v>1360</v>
      </c>
      <c r="J76" s="463" t="s">
        <v>69</v>
      </c>
      <c r="K76" s="139" t="s">
        <v>1303</v>
      </c>
      <c r="L76" s="140" t="s">
        <v>2</v>
      </c>
      <c r="M76" s="141" t="s">
        <v>1361</v>
      </c>
      <c r="N76" s="134" t="s">
        <v>69</v>
      </c>
      <c r="O76" s="134" t="s">
        <v>69</v>
      </c>
      <c r="P76" s="134" t="s">
        <v>69</v>
      </c>
      <c r="Q76" s="134" t="s">
        <v>69</v>
      </c>
      <c r="R76" s="140"/>
      <c r="S76" s="135"/>
      <c r="T76" s="135"/>
      <c r="V76" s="149"/>
      <c r="Y76" s="134"/>
      <c r="Z76" s="134"/>
    </row>
    <row r="77" spans="1:26" s="141" customFormat="1" x14ac:dyDescent="0.2">
      <c r="A77" s="141" t="s">
        <v>1267</v>
      </c>
      <c r="B77" s="134" t="s">
        <v>1362</v>
      </c>
      <c r="C77" s="135" t="s">
        <v>895</v>
      </c>
      <c r="D77" s="136">
        <v>48.52</v>
      </c>
      <c r="E77" s="136">
        <v>2.11</v>
      </c>
      <c r="F77" s="137">
        <f>(G77+H77)/2</f>
        <v>7950</v>
      </c>
      <c r="G77" s="138">
        <v>8290</v>
      </c>
      <c r="H77" s="138">
        <v>7610</v>
      </c>
      <c r="I77" s="463" t="s">
        <v>622</v>
      </c>
      <c r="J77" s="463" t="s">
        <v>69</v>
      </c>
      <c r="K77" s="139" t="s">
        <v>1363</v>
      </c>
      <c r="L77" s="140" t="s">
        <v>2</v>
      </c>
      <c r="M77" s="141" t="s">
        <v>1364</v>
      </c>
      <c r="N77" s="134" t="s">
        <v>69</v>
      </c>
      <c r="O77" s="134" t="s">
        <v>69</v>
      </c>
      <c r="P77" s="134" t="s">
        <v>69</v>
      </c>
      <c r="Q77" s="134" t="s">
        <v>69</v>
      </c>
      <c r="R77" s="140"/>
      <c r="S77" s="135"/>
      <c r="T77" s="135"/>
      <c r="V77" s="149"/>
      <c r="Y77" s="134"/>
      <c r="Z77" s="134"/>
    </row>
    <row r="78" spans="1:26" s="141" customFormat="1" x14ac:dyDescent="0.2">
      <c r="A78" s="141" t="s">
        <v>1288</v>
      </c>
      <c r="B78" s="134" t="s">
        <v>1365</v>
      </c>
      <c r="C78" s="135" t="s">
        <v>895</v>
      </c>
      <c r="D78" s="136">
        <v>48.917000000000002</v>
      </c>
      <c r="E78" s="136">
        <v>2.85</v>
      </c>
      <c r="F78" s="137">
        <f>(G78+H78)/2</f>
        <v>6370</v>
      </c>
      <c r="G78" s="138">
        <v>6460</v>
      </c>
      <c r="H78" s="138">
        <v>6280</v>
      </c>
      <c r="I78" s="463" t="s">
        <v>622</v>
      </c>
      <c r="J78" s="463" t="s">
        <v>69</v>
      </c>
      <c r="K78" s="139" t="s">
        <v>1363</v>
      </c>
      <c r="L78" s="140" t="s">
        <v>69</v>
      </c>
      <c r="M78" s="141" t="s">
        <v>1366</v>
      </c>
      <c r="N78" s="134" t="s">
        <v>1367</v>
      </c>
      <c r="O78" s="134" t="s">
        <v>1368</v>
      </c>
      <c r="P78" s="134" t="s">
        <v>69</v>
      </c>
      <c r="Q78" s="134" t="s">
        <v>69</v>
      </c>
      <c r="R78" s="140"/>
      <c r="S78" s="135"/>
      <c r="T78" s="135"/>
      <c r="V78" s="149"/>
      <c r="Y78" s="134"/>
      <c r="Z78" s="134"/>
    </row>
    <row r="79" spans="1:26" s="141" customFormat="1" x14ac:dyDescent="0.2">
      <c r="A79" s="141" t="s">
        <v>1369</v>
      </c>
      <c r="B79" s="134" t="s">
        <v>1370</v>
      </c>
      <c r="C79" s="135" t="s">
        <v>895</v>
      </c>
      <c r="D79" s="136">
        <v>45.77</v>
      </c>
      <c r="E79" s="136">
        <v>0.33</v>
      </c>
      <c r="F79" s="137">
        <v>7117</v>
      </c>
      <c r="G79" s="138">
        <v>7177</v>
      </c>
      <c r="H79" s="138">
        <v>7057</v>
      </c>
      <c r="I79" s="463" t="s">
        <v>510</v>
      </c>
      <c r="J79" s="463"/>
      <c r="K79" s="139" t="s">
        <v>1371</v>
      </c>
      <c r="L79" s="140" t="s">
        <v>2</v>
      </c>
      <c r="M79" s="141" t="s">
        <v>1372</v>
      </c>
      <c r="N79" s="134" t="s">
        <v>69</v>
      </c>
      <c r="O79" s="134" t="s">
        <v>69</v>
      </c>
      <c r="P79" s="134" t="s">
        <v>69</v>
      </c>
      <c r="Q79" s="134" t="s">
        <v>69</v>
      </c>
      <c r="R79" s="140"/>
      <c r="S79" s="135"/>
      <c r="T79" s="135"/>
      <c r="V79" s="149"/>
      <c r="Y79" s="134"/>
      <c r="Z79" s="134"/>
    </row>
    <row r="80" spans="1:26" s="141" customFormat="1" x14ac:dyDescent="0.2">
      <c r="A80" s="141" t="s">
        <v>1267</v>
      </c>
      <c r="B80" s="134" t="s">
        <v>1373</v>
      </c>
      <c r="C80" s="135" t="s">
        <v>895</v>
      </c>
      <c r="D80" s="136">
        <v>47.91</v>
      </c>
      <c r="E80" s="136">
        <v>5.43</v>
      </c>
      <c r="F80" s="137">
        <f>(G80+H80)/2</f>
        <v>8135</v>
      </c>
      <c r="G80" s="138">
        <v>8290</v>
      </c>
      <c r="H80" s="138">
        <v>7980</v>
      </c>
      <c r="I80" s="463" t="s">
        <v>510</v>
      </c>
      <c r="J80" s="463" t="s">
        <v>69</v>
      </c>
      <c r="K80" s="139" t="s">
        <v>1363</v>
      </c>
      <c r="L80" s="140" t="s">
        <v>2</v>
      </c>
      <c r="M80" s="141" t="s">
        <v>1374</v>
      </c>
      <c r="N80" s="134" t="s">
        <v>69</v>
      </c>
      <c r="O80" s="134" t="s">
        <v>69</v>
      </c>
      <c r="P80" s="134" t="s">
        <v>69</v>
      </c>
      <c r="Q80" s="134" t="s">
        <v>69</v>
      </c>
      <c r="R80" s="140"/>
      <c r="S80" s="135"/>
      <c r="T80" s="135"/>
      <c r="V80" s="149"/>
      <c r="Y80" s="134"/>
      <c r="Z80" s="134"/>
    </row>
    <row r="81" spans="1:39" s="141" customFormat="1" x14ac:dyDescent="0.2">
      <c r="A81" s="141" t="s">
        <v>545</v>
      </c>
      <c r="B81" s="134" t="s">
        <v>1375</v>
      </c>
      <c r="C81" s="135" t="s">
        <v>895</v>
      </c>
      <c r="D81" s="136">
        <v>44.29</v>
      </c>
      <c r="E81" s="136">
        <v>4.46</v>
      </c>
      <c r="F81" s="137">
        <f>(G81+H81)/2</f>
        <v>9775</v>
      </c>
      <c r="G81" s="138">
        <v>10090</v>
      </c>
      <c r="H81" s="138">
        <v>9460</v>
      </c>
      <c r="I81" s="463" t="s">
        <v>510</v>
      </c>
      <c r="J81" s="463" t="s">
        <v>1314</v>
      </c>
      <c r="K81" s="139" t="s">
        <v>1376</v>
      </c>
      <c r="L81" s="140" t="s">
        <v>14</v>
      </c>
      <c r="M81" s="141" t="s">
        <v>1376</v>
      </c>
      <c r="N81" s="134" t="s">
        <v>1376</v>
      </c>
      <c r="O81" s="134" t="s">
        <v>69</v>
      </c>
      <c r="P81" s="134" t="s">
        <v>69</v>
      </c>
      <c r="Q81" s="134" t="s">
        <v>69</v>
      </c>
      <c r="R81" s="140"/>
      <c r="S81" s="135"/>
      <c r="T81" s="135"/>
      <c r="V81" s="149"/>
      <c r="Y81" s="134"/>
      <c r="Z81" s="134"/>
    </row>
    <row r="82" spans="1:39" s="141" customFormat="1" x14ac:dyDescent="0.2">
      <c r="A82" s="141" t="s">
        <v>1369</v>
      </c>
      <c r="B82" s="134" t="s">
        <v>1370</v>
      </c>
      <c r="C82" s="135" t="s">
        <v>895</v>
      </c>
      <c r="D82" s="136">
        <v>45.77</v>
      </c>
      <c r="E82" s="136">
        <v>0.33</v>
      </c>
      <c r="F82" s="137">
        <v>7117</v>
      </c>
      <c r="G82" s="138">
        <v>7177</v>
      </c>
      <c r="H82" s="138">
        <v>7057</v>
      </c>
      <c r="I82" s="463" t="s">
        <v>1377</v>
      </c>
      <c r="J82" s="463" t="s">
        <v>1378</v>
      </c>
      <c r="K82" s="139" t="s">
        <v>1371</v>
      </c>
      <c r="L82" s="140" t="s">
        <v>14</v>
      </c>
      <c r="M82" s="141" t="s">
        <v>1379</v>
      </c>
      <c r="N82" s="134" t="s">
        <v>69</v>
      </c>
      <c r="O82" s="134" t="s">
        <v>69</v>
      </c>
      <c r="P82" s="134" t="s">
        <v>69</v>
      </c>
      <c r="Q82" s="134" t="s">
        <v>69</v>
      </c>
      <c r="R82" s="140"/>
      <c r="S82" s="135"/>
      <c r="T82" s="135"/>
      <c r="V82" s="149"/>
      <c r="Y82" s="134"/>
      <c r="Z82" s="134"/>
    </row>
    <row r="83" spans="1:39" s="141" customFormat="1" x14ac:dyDescent="0.2">
      <c r="A83" s="141" t="s">
        <v>1369</v>
      </c>
      <c r="B83" s="134" t="s">
        <v>1370</v>
      </c>
      <c r="C83" s="135" t="s">
        <v>895</v>
      </c>
      <c r="D83" s="136">
        <v>45.77</v>
      </c>
      <c r="E83" s="136">
        <v>0.33</v>
      </c>
      <c r="F83" s="137">
        <v>7117</v>
      </c>
      <c r="G83" s="138">
        <v>7177</v>
      </c>
      <c r="H83" s="138">
        <v>7057</v>
      </c>
      <c r="I83" s="463" t="s">
        <v>1377</v>
      </c>
      <c r="J83" s="463"/>
      <c r="K83" s="139" t="s">
        <v>1371</v>
      </c>
      <c r="L83" s="140" t="s">
        <v>2</v>
      </c>
      <c r="M83" s="141" t="s">
        <v>1380</v>
      </c>
      <c r="N83" s="134" t="s">
        <v>69</v>
      </c>
      <c r="O83" s="134" t="s">
        <v>69</v>
      </c>
      <c r="P83" s="134" t="s">
        <v>69</v>
      </c>
      <c r="Q83" s="134" t="s">
        <v>69</v>
      </c>
      <c r="R83" s="140"/>
      <c r="S83" s="135"/>
      <c r="T83" s="135"/>
      <c r="V83" s="149"/>
      <c r="Y83" s="134"/>
      <c r="Z83" s="134"/>
    </row>
    <row r="84" spans="1:39" s="141" customFormat="1" x14ac:dyDescent="0.2">
      <c r="A84" s="141" t="s">
        <v>1369</v>
      </c>
      <c r="B84" s="134" t="s">
        <v>1370</v>
      </c>
      <c r="C84" s="135" t="s">
        <v>895</v>
      </c>
      <c r="D84" s="136">
        <v>45.77</v>
      </c>
      <c r="E84" s="136">
        <v>0.33</v>
      </c>
      <c r="F84" s="137">
        <v>7117</v>
      </c>
      <c r="G84" s="138">
        <v>7177</v>
      </c>
      <c r="H84" s="138">
        <v>7057</v>
      </c>
      <c r="I84" s="463" t="s">
        <v>1381</v>
      </c>
      <c r="J84" s="463"/>
      <c r="K84" s="139" t="s">
        <v>1371</v>
      </c>
      <c r="L84" s="140" t="s">
        <v>69</v>
      </c>
      <c r="M84" s="141" t="s">
        <v>1382</v>
      </c>
      <c r="N84" s="134" t="s">
        <v>69</v>
      </c>
      <c r="O84" s="134" t="s">
        <v>69</v>
      </c>
      <c r="P84" s="134" t="s">
        <v>69</v>
      </c>
      <c r="Q84" s="134" t="s">
        <v>69</v>
      </c>
      <c r="R84" s="140"/>
      <c r="S84" s="135"/>
      <c r="T84" s="135"/>
      <c r="V84" s="149"/>
      <c r="Y84" s="134"/>
      <c r="Z84" s="134"/>
    </row>
    <row r="85" spans="1:39" s="141" customFormat="1" x14ac:dyDescent="0.2">
      <c r="A85" s="141" t="s">
        <v>1369</v>
      </c>
      <c r="B85" s="134" t="s">
        <v>1370</v>
      </c>
      <c r="C85" s="135" t="s">
        <v>895</v>
      </c>
      <c r="D85" s="136">
        <v>45.77</v>
      </c>
      <c r="E85" s="136">
        <v>0.33</v>
      </c>
      <c r="F85" s="137">
        <v>7117</v>
      </c>
      <c r="G85" s="138">
        <v>7177</v>
      </c>
      <c r="H85" s="138">
        <v>7057</v>
      </c>
      <c r="I85" s="463" t="s">
        <v>1381</v>
      </c>
      <c r="J85" s="463"/>
      <c r="K85" s="139" t="s">
        <v>1371</v>
      </c>
      <c r="L85" s="140" t="s">
        <v>2</v>
      </c>
      <c r="M85" s="141" t="s">
        <v>1383</v>
      </c>
      <c r="N85" s="134" t="s">
        <v>69</v>
      </c>
      <c r="O85" s="134" t="s">
        <v>69</v>
      </c>
      <c r="P85" s="134" t="s">
        <v>69</v>
      </c>
      <c r="Q85" s="134" t="s">
        <v>69</v>
      </c>
      <c r="R85" s="140"/>
      <c r="S85" s="135"/>
      <c r="T85" s="135"/>
      <c r="V85" s="149"/>
      <c r="Y85" s="134"/>
      <c r="Z85" s="134"/>
    </row>
    <row r="86" spans="1:39" s="141" customFormat="1" x14ac:dyDescent="0.2">
      <c r="A86" s="141" t="s">
        <v>1267</v>
      </c>
      <c r="B86" s="134" t="s">
        <v>1384</v>
      </c>
      <c r="C86" s="135" t="s">
        <v>895</v>
      </c>
      <c r="D86" s="136">
        <v>49.24</v>
      </c>
      <c r="E86" s="136">
        <v>3.54</v>
      </c>
      <c r="F86" s="137">
        <f t="shared" ref="F86:F90" si="2">(G86+H86)/2</f>
        <v>5295</v>
      </c>
      <c r="G86" s="138">
        <v>5370</v>
      </c>
      <c r="H86" s="138">
        <v>5220</v>
      </c>
      <c r="I86" s="463" t="s">
        <v>1385</v>
      </c>
      <c r="J86" s="463" t="s">
        <v>80</v>
      </c>
      <c r="K86" s="139" t="s">
        <v>1363</v>
      </c>
      <c r="L86" s="140" t="s">
        <v>14</v>
      </c>
      <c r="M86" s="141" t="s">
        <v>1386</v>
      </c>
      <c r="N86" s="134" t="s">
        <v>69</v>
      </c>
      <c r="O86" s="134" t="s">
        <v>69</v>
      </c>
      <c r="P86" s="134" t="s">
        <v>69</v>
      </c>
      <c r="Q86" s="134" t="s">
        <v>69</v>
      </c>
      <c r="R86" s="140"/>
      <c r="S86" s="135"/>
      <c r="T86" s="135"/>
      <c r="V86" s="149"/>
      <c r="Y86" s="134"/>
      <c r="Z86" s="134"/>
    </row>
    <row r="87" spans="1:39" s="141" customFormat="1" x14ac:dyDescent="0.2">
      <c r="A87" s="141" t="s">
        <v>1267</v>
      </c>
      <c r="B87" s="134" t="s">
        <v>1387</v>
      </c>
      <c r="C87" s="135" t="s">
        <v>895</v>
      </c>
      <c r="D87" s="136">
        <v>49.24</v>
      </c>
      <c r="E87" s="136">
        <v>3.46</v>
      </c>
      <c r="F87" s="137">
        <f t="shared" si="2"/>
        <v>6255</v>
      </c>
      <c r="G87" s="138">
        <v>6410</v>
      </c>
      <c r="H87" s="138">
        <v>6100.0000000000009</v>
      </c>
      <c r="I87" s="463" t="s">
        <v>1388</v>
      </c>
      <c r="J87" s="463" t="s">
        <v>80</v>
      </c>
      <c r="K87" s="139" t="s">
        <v>1363</v>
      </c>
      <c r="L87" s="140" t="s">
        <v>14</v>
      </c>
      <c r="M87" s="141" t="s">
        <v>1389</v>
      </c>
      <c r="N87" s="134" t="s">
        <v>69</v>
      </c>
      <c r="O87" s="134" t="s">
        <v>69</v>
      </c>
      <c r="P87" s="134" t="s">
        <v>69</v>
      </c>
      <c r="Q87" s="134" t="s">
        <v>69</v>
      </c>
      <c r="R87" s="140"/>
      <c r="S87" s="135"/>
      <c r="T87" s="135"/>
      <c r="V87" s="149"/>
      <c r="Y87" s="134"/>
      <c r="Z87" s="134"/>
    </row>
    <row r="88" spans="1:39" s="141" customFormat="1" x14ac:dyDescent="0.2">
      <c r="A88" s="141" t="s">
        <v>545</v>
      </c>
      <c r="B88" s="134" t="s">
        <v>1375</v>
      </c>
      <c r="C88" s="135" t="s">
        <v>895</v>
      </c>
      <c r="D88" s="136">
        <v>44.29</v>
      </c>
      <c r="E88" s="136">
        <v>4.46</v>
      </c>
      <c r="F88" s="137">
        <f t="shared" si="2"/>
        <v>9775</v>
      </c>
      <c r="G88" s="138">
        <v>10090</v>
      </c>
      <c r="H88" s="138">
        <v>9460</v>
      </c>
      <c r="I88" s="463" t="s">
        <v>487</v>
      </c>
      <c r="J88" s="463" t="s">
        <v>1390</v>
      </c>
      <c r="K88" s="139" t="s">
        <v>1391</v>
      </c>
      <c r="L88" s="140" t="s">
        <v>14</v>
      </c>
      <c r="M88" s="141" t="s">
        <v>1391</v>
      </c>
      <c r="N88" s="134" t="s">
        <v>1391</v>
      </c>
      <c r="O88" s="134" t="s">
        <v>69</v>
      </c>
      <c r="P88" s="134" t="s">
        <v>69</v>
      </c>
      <c r="Q88" s="134" t="s">
        <v>69</v>
      </c>
      <c r="R88" s="140"/>
      <c r="S88" s="135"/>
      <c r="T88" s="135"/>
      <c r="V88" s="149"/>
      <c r="Y88" s="134"/>
      <c r="Z88" s="134"/>
    </row>
    <row r="89" spans="1:39" s="141" customFormat="1" x14ac:dyDescent="0.2">
      <c r="A89" s="141" t="s">
        <v>1267</v>
      </c>
      <c r="B89" s="134" t="s">
        <v>1392</v>
      </c>
      <c r="C89" s="135" t="s">
        <v>895</v>
      </c>
      <c r="D89" s="136">
        <v>44.29</v>
      </c>
      <c r="E89" s="136">
        <v>4.46</v>
      </c>
      <c r="F89" s="137">
        <f t="shared" si="2"/>
        <v>9775</v>
      </c>
      <c r="G89" s="138">
        <v>10090</v>
      </c>
      <c r="H89" s="138">
        <v>9460</v>
      </c>
      <c r="I89" s="463" t="s">
        <v>1200</v>
      </c>
      <c r="J89" s="463" t="s">
        <v>69</v>
      </c>
      <c r="K89" s="139" t="s">
        <v>1393</v>
      </c>
      <c r="L89" s="140" t="s">
        <v>14</v>
      </c>
      <c r="M89" s="141" t="s">
        <v>1394</v>
      </c>
      <c r="N89" s="134" t="s">
        <v>69</v>
      </c>
      <c r="O89" s="134" t="s">
        <v>69</v>
      </c>
      <c r="P89" s="134" t="s">
        <v>69</v>
      </c>
      <c r="Q89" s="134" t="s">
        <v>69</v>
      </c>
      <c r="R89" s="140"/>
      <c r="S89" s="135"/>
      <c r="T89" s="135"/>
      <c r="V89" s="149"/>
      <c r="Y89" s="134"/>
      <c r="Z89" s="134"/>
    </row>
    <row r="90" spans="1:39" s="141" customFormat="1" x14ac:dyDescent="0.2">
      <c r="A90" s="141" t="s">
        <v>2267</v>
      </c>
      <c r="B90" s="134" t="s">
        <v>1395</v>
      </c>
      <c r="C90" s="135" t="s">
        <v>895</v>
      </c>
      <c r="D90" s="136">
        <v>47.21</v>
      </c>
      <c r="E90" s="136">
        <v>6.45</v>
      </c>
      <c r="F90" s="137">
        <f t="shared" si="2"/>
        <v>11010</v>
      </c>
      <c r="G90" s="138">
        <v>11140</v>
      </c>
      <c r="H90" s="138">
        <v>10880</v>
      </c>
      <c r="I90" s="463" t="s">
        <v>1200</v>
      </c>
      <c r="J90" s="463" t="s">
        <v>80</v>
      </c>
      <c r="K90" s="139" t="s">
        <v>1396</v>
      </c>
      <c r="L90" s="140" t="s">
        <v>14</v>
      </c>
      <c r="M90" s="141" t="s">
        <v>1396</v>
      </c>
      <c r="N90" s="134" t="s">
        <v>1396</v>
      </c>
      <c r="O90" s="134" t="s">
        <v>69</v>
      </c>
      <c r="P90" s="134" t="s">
        <v>69</v>
      </c>
      <c r="Q90" s="134" t="s">
        <v>69</v>
      </c>
      <c r="R90" s="140"/>
      <c r="S90" s="135"/>
      <c r="T90" s="135"/>
      <c r="V90" s="149"/>
      <c r="Y90" s="134"/>
      <c r="Z90" s="134"/>
    </row>
    <row r="91" spans="1:39" s="141" customFormat="1" x14ac:dyDescent="0.2">
      <c r="A91" s="141" t="s">
        <v>916</v>
      </c>
      <c r="B91" s="134" t="s">
        <v>1413</v>
      </c>
      <c r="C91" s="135" t="s">
        <v>16</v>
      </c>
      <c r="D91" s="136">
        <v>51.31</v>
      </c>
      <c r="E91" s="136">
        <v>11.4</v>
      </c>
      <c r="F91" s="137">
        <f>(G91+H91)/2</f>
        <v>5526</v>
      </c>
      <c r="G91" s="138">
        <v>5555</v>
      </c>
      <c r="H91" s="138">
        <v>5497</v>
      </c>
      <c r="I91" s="869" t="s">
        <v>69</v>
      </c>
      <c r="J91" s="463" t="s">
        <v>80</v>
      </c>
      <c r="K91" s="139" t="s">
        <v>1414</v>
      </c>
      <c r="L91" s="140" t="s">
        <v>14</v>
      </c>
      <c r="M91" s="141" t="s">
        <v>1415</v>
      </c>
      <c r="N91" s="134" t="s">
        <v>1416</v>
      </c>
      <c r="O91" s="134" t="s">
        <v>69</v>
      </c>
      <c r="P91" s="134" t="s">
        <v>69</v>
      </c>
      <c r="Q91" s="134" t="s">
        <v>69</v>
      </c>
      <c r="R91" s="140"/>
      <c r="S91" s="135"/>
      <c r="T91" s="135"/>
      <c r="V91" s="149"/>
      <c r="Y91" s="134"/>
      <c r="Z91" s="134"/>
    </row>
    <row r="92" spans="1:39" s="141" customFormat="1" x14ac:dyDescent="0.2">
      <c r="A92" s="141" t="s">
        <v>916</v>
      </c>
      <c r="B92" s="134" t="s">
        <v>1413</v>
      </c>
      <c r="C92" s="135" t="s">
        <v>16</v>
      </c>
      <c r="D92" s="136">
        <v>51.31</v>
      </c>
      <c r="E92" s="136">
        <v>11.4</v>
      </c>
      <c r="F92" s="137">
        <f>(G92+H92)/2</f>
        <v>5604</v>
      </c>
      <c r="G92" s="138">
        <v>5636</v>
      </c>
      <c r="H92" s="138">
        <v>5572</v>
      </c>
      <c r="I92" s="869" t="s">
        <v>69</v>
      </c>
      <c r="J92" s="463" t="s">
        <v>69</v>
      </c>
      <c r="K92" s="139" t="s">
        <v>1414</v>
      </c>
      <c r="L92" s="140" t="s">
        <v>2</v>
      </c>
      <c r="M92" s="141" t="s">
        <v>1417</v>
      </c>
      <c r="N92" s="134" t="s">
        <v>1418</v>
      </c>
      <c r="O92" s="134" t="s">
        <v>69</v>
      </c>
      <c r="P92" s="134" t="s">
        <v>69</v>
      </c>
      <c r="Q92" s="134" t="s">
        <v>69</v>
      </c>
      <c r="R92" s="140"/>
      <c r="S92" s="135"/>
      <c r="T92" s="135"/>
      <c r="V92" s="149"/>
      <c r="Y92" s="134"/>
      <c r="Z92" s="134"/>
    </row>
    <row r="93" spans="1:39" s="141" customFormat="1" x14ac:dyDescent="0.2">
      <c r="A93" s="141" t="s">
        <v>1419</v>
      </c>
      <c r="B93" s="134" t="s">
        <v>1420</v>
      </c>
      <c r="C93" s="135" t="s">
        <v>16</v>
      </c>
      <c r="D93" s="136" t="s">
        <v>69</v>
      </c>
      <c r="E93" s="136" t="s">
        <v>69</v>
      </c>
      <c r="F93" s="137">
        <v>3000</v>
      </c>
      <c r="G93" s="138" t="s">
        <v>69</v>
      </c>
      <c r="H93" s="138" t="s">
        <v>69</v>
      </c>
      <c r="I93" s="463" t="s">
        <v>34</v>
      </c>
      <c r="J93" s="463" t="s">
        <v>69</v>
      </c>
      <c r="K93" s="139" t="s">
        <v>1421</v>
      </c>
      <c r="L93" s="140" t="s">
        <v>1422</v>
      </c>
      <c r="M93" s="141" t="s">
        <v>1423</v>
      </c>
      <c r="N93" s="134" t="s">
        <v>69</v>
      </c>
      <c r="O93" s="134" t="s">
        <v>69</v>
      </c>
      <c r="P93" s="134"/>
      <c r="Q93" s="134"/>
      <c r="R93" s="140"/>
      <c r="S93" s="135"/>
      <c r="T93" s="135"/>
      <c r="V93" s="149"/>
      <c r="Y93" s="134"/>
      <c r="Z93" s="134"/>
    </row>
    <row r="94" spans="1:39" s="141" customFormat="1" x14ac:dyDescent="0.2">
      <c r="A94" s="141" t="s">
        <v>1419</v>
      </c>
      <c r="B94" s="134" t="s">
        <v>1420</v>
      </c>
      <c r="C94" s="135" t="s">
        <v>16</v>
      </c>
      <c r="D94" s="136" t="s">
        <v>69</v>
      </c>
      <c r="E94" s="136" t="s">
        <v>69</v>
      </c>
      <c r="F94" s="137">
        <v>3200</v>
      </c>
      <c r="G94" s="138" t="s">
        <v>69</v>
      </c>
      <c r="H94" s="138" t="s">
        <v>69</v>
      </c>
      <c r="I94" s="466" t="s">
        <v>4293</v>
      </c>
      <c r="J94" s="463" t="s">
        <v>69</v>
      </c>
      <c r="K94" s="139" t="s">
        <v>1421</v>
      </c>
      <c r="L94" s="140" t="s">
        <v>14</v>
      </c>
      <c r="M94" s="141" t="s">
        <v>1424</v>
      </c>
      <c r="O94" s="153"/>
      <c r="P94" s="153"/>
      <c r="Q94" s="152"/>
      <c r="R94" s="477" t="s">
        <v>4294</v>
      </c>
      <c r="S94" s="152"/>
      <c r="T94" s="152"/>
      <c r="U94" s="139"/>
      <c r="V94" s="139"/>
      <c r="W94" s="152"/>
      <c r="X94" s="152"/>
      <c r="Y94" s="152"/>
      <c r="Z94" s="152"/>
      <c r="AA94" s="152"/>
      <c r="AB94" s="152"/>
      <c r="AC94" s="152"/>
      <c r="AD94" s="152"/>
      <c r="AE94" s="152"/>
      <c r="AF94" s="152"/>
      <c r="AG94" s="152"/>
      <c r="AH94" s="152"/>
      <c r="AI94" s="152"/>
      <c r="AJ94" s="152"/>
      <c r="AK94" s="152"/>
      <c r="AL94" s="152"/>
      <c r="AM94" s="152"/>
    </row>
    <row r="95" spans="1:39" s="141" customFormat="1" x14ac:dyDescent="0.2">
      <c r="A95" s="141" t="s">
        <v>1419</v>
      </c>
      <c r="B95" s="134" t="s">
        <v>1420</v>
      </c>
      <c r="C95" s="135" t="s">
        <v>16</v>
      </c>
      <c r="D95" s="136" t="s">
        <v>69</v>
      </c>
      <c r="E95" s="136" t="s">
        <v>69</v>
      </c>
      <c r="F95" s="137">
        <v>3000</v>
      </c>
      <c r="G95" s="138" t="s">
        <v>69</v>
      </c>
      <c r="H95" s="138" t="s">
        <v>69</v>
      </c>
      <c r="I95" s="463" t="s">
        <v>58</v>
      </c>
      <c r="J95" s="463" t="s">
        <v>69</v>
      </c>
      <c r="K95" s="139" t="s">
        <v>1421</v>
      </c>
      <c r="L95" s="140" t="s">
        <v>14</v>
      </c>
      <c r="M95" s="141" t="s">
        <v>1425</v>
      </c>
      <c r="N95" s="134" t="s">
        <v>69</v>
      </c>
      <c r="O95" s="134" t="s">
        <v>69</v>
      </c>
      <c r="P95" s="134"/>
      <c r="Q95" s="134"/>
      <c r="R95" s="140"/>
      <c r="S95" s="135"/>
      <c r="T95" s="135"/>
      <c r="V95" s="149"/>
      <c r="Y95" s="134"/>
      <c r="Z95" s="134"/>
    </row>
    <row r="96" spans="1:39" s="141" customFormat="1" x14ac:dyDescent="0.2">
      <c r="A96" s="141" t="s">
        <v>1419</v>
      </c>
      <c r="B96" s="134" t="s">
        <v>1420</v>
      </c>
      <c r="C96" s="135" t="s">
        <v>16</v>
      </c>
      <c r="D96" s="136" t="s">
        <v>69</v>
      </c>
      <c r="E96" s="136" t="s">
        <v>69</v>
      </c>
      <c r="F96" s="137">
        <v>3000</v>
      </c>
      <c r="G96" s="138" t="s">
        <v>69</v>
      </c>
      <c r="H96" s="138" t="s">
        <v>69</v>
      </c>
      <c r="I96" s="463" t="s">
        <v>58</v>
      </c>
      <c r="J96" s="463" t="s">
        <v>69</v>
      </c>
      <c r="K96" s="139" t="s">
        <v>1421</v>
      </c>
      <c r="L96" s="140" t="s">
        <v>14</v>
      </c>
      <c r="M96" s="141" t="s">
        <v>1426</v>
      </c>
      <c r="N96" s="134" t="s">
        <v>69</v>
      </c>
      <c r="O96" s="134" t="s">
        <v>69</v>
      </c>
      <c r="P96" s="134"/>
      <c r="Q96" s="134"/>
      <c r="R96" s="140"/>
      <c r="S96" s="135"/>
      <c r="T96" s="135"/>
      <c r="V96" s="149"/>
      <c r="Y96" s="134"/>
      <c r="Z96" s="134"/>
    </row>
    <row r="97" spans="1:26" s="141" customFormat="1" x14ac:dyDescent="0.2">
      <c r="A97" s="141" t="s">
        <v>1419</v>
      </c>
      <c r="B97" s="134" t="s">
        <v>1427</v>
      </c>
      <c r="C97" s="135" t="s">
        <v>16</v>
      </c>
      <c r="D97" s="136" t="s">
        <v>69</v>
      </c>
      <c r="E97" s="136" t="s">
        <v>69</v>
      </c>
      <c r="F97" s="137">
        <v>13400</v>
      </c>
      <c r="G97" s="138" t="s">
        <v>69</v>
      </c>
      <c r="H97" s="138" t="s">
        <v>69</v>
      </c>
      <c r="I97" s="463" t="s">
        <v>8</v>
      </c>
      <c r="J97" s="463" t="s">
        <v>69</v>
      </c>
      <c r="K97" s="139" t="s">
        <v>1303</v>
      </c>
      <c r="L97" s="140" t="s">
        <v>69</v>
      </c>
      <c r="M97" s="141" t="s">
        <v>1428</v>
      </c>
      <c r="N97" s="134" t="s">
        <v>69</v>
      </c>
      <c r="O97" s="134" t="s">
        <v>69</v>
      </c>
      <c r="P97" s="134" t="s">
        <v>69</v>
      </c>
      <c r="Q97" s="134" t="s">
        <v>69</v>
      </c>
      <c r="R97" s="140"/>
      <c r="S97" s="135"/>
      <c r="T97" s="135"/>
      <c r="V97" s="149"/>
      <c r="Y97" s="134"/>
      <c r="Z97" s="134"/>
    </row>
    <row r="98" spans="1:26" s="141" customFormat="1" x14ac:dyDescent="0.2">
      <c r="A98" s="141" t="s">
        <v>1419</v>
      </c>
      <c r="B98" s="134" t="s">
        <v>1427</v>
      </c>
      <c r="C98" s="135" t="s">
        <v>16</v>
      </c>
      <c r="D98" s="136" t="s">
        <v>69</v>
      </c>
      <c r="E98" s="136" t="s">
        <v>69</v>
      </c>
      <c r="F98" s="137">
        <v>13400</v>
      </c>
      <c r="G98" s="138" t="s">
        <v>69</v>
      </c>
      <c r="H98" s="138" t="s">
        <v>69</v>
      </c>
      <c r="I98" s="463" t="s">
        <v>8</v>
      </c>
      <c r="J98" s="463" t="s">
        <v>69</v>
      </c>
      <c r="K98" s="139" t="s">
        <v>1303</v>
      </c>
      <c r="L98" s="140" t="s">
        <v>69</v>
      </c>
      <c r="M98" s="141" t="s">
        <v>1429</v>
      </c>
      <c r="N98" s="134" t="s">
        <v>69</v>
      </c>
      <c r="O98" s="134" t="s">
        <v>69</v>
      </c>
      <c r="P98" s="134" t="s">
        <v>69</v>
      </c>
      <c r="Q98" s="134" t="s">
        <v>69</v>
      </c>
      <c r="R98" s="140"/>
      <c r="S98" s="135"/>
      <c r="T98" s="135"/>
      <c r="V98" s="149"/>
      <c r="Y98" s="134"/>
      <c r="Z98" s="134"/>
    </row>
    <row r="99" spans="1:26" s="141" customFormat="1" x14ac:dyDescent="0.2">
      <c r="A99" s="141" t="s">
        <v>1430</v>
      </c>
      <c r="B99" s="134" t="s">
        <v>1431</v>
      </c>
      <c r="C99" s="135" t="s">
        <v>16</v>
      </c>
      <c r="D99" s="136">
        <v>51.358333330000001</v>
      </c>
      <c r="E99" s="136">
        <v>7.5511111099999999</v>
      </c>
      <c r="F99" s="137">
        <v>8734</v>
      </c>
      <c r="G99" s="138">
        <v>8846</v>
      </c>
      <c r="H99" s="138">
        <v>8622</v>
      </c>
      <c r="I99" s="869" t="s">
        <v>1432</v>
      </c>
      <c r="J99" s="463" t="s">
        <v>69</v>
      </c>
      <c r="K99" s="139" t="s">
        <v>1433</v>
      </c>
      <c r="L99" s="140" t="s">
        <v>69</v>
      </c>
      <c r="M99" s="141" t="s">
        <v>1434</v>
      </c>
      <c r="N99" s="134" t="s">
        <v>69</v>
      </c>
      <c r="O99" s="134" t="s">
        <v>69</v>
      </c>
      <c r="P99" s="134" t="s">
        <v>69</v>
      </c>
      <c r="Q99" s="134" t="s">
        <v>69</v>
      </c>
      <c r="R99" s="140"/>
      <c r="S99" s="135"/>
      <c r="T99" s="135"/>
      <c r="V99" s="149"/>
      <c r="Y99" s="134"/>
      <c r="Z99" s="134"/>
    </row>
    <row r="100" spans="1:26" s="141" customFormat="1" x14ac:dyDescent="0.2">
      <c r="A100" s="141" t="s">
        <v>1430</v>
      </c>
      <c r="B100" s="134" t="s">
        <v>1431</v>
      </c>
      <c r="C100" s="135" t="s">
        <v>16</v>
      </c>
      <c r="D100" s="136">
        <v>51.358333330000001</v>
      </c>
      <c r="E100" s="136">
        <v>7.5511111099999999</v>
      </c>
      <c r="F100" s="137">
        <v>9213</v>
      </c>
      <c r="G100" s="138">
        <v>9247</v>
      </c>
      <c r="H100" s="138">
        <v>9179</v>
      </c>
      <c r="I100" s="463" t="s">
        <v>1435</v>
      </c>
      <c r="J100" s="463" t="s">
        <v>69</v>
      </c>
      <c r="K100" s="139" t="s">
        <v>1433</v>
      </c>
      <c r="L100" s="140" t="s">
        <v>69</v>
      </c>
      <c r="M100" s="141" t="s">
        <v>1436</v>
      </c>
      <c r="N100" s="134" t="s">
        <v>69</v>
      </c>
      <c r="O100" s="134" t="s">
        <v>69</v>
      </c>
      <c r="P100" s="134" t="s">
        <v>69</v>
      </c>
      <c r="Q100" s="134" t="s">
        <v>69</v>
      </c>
      <c r="R100" s="140"/>
      <c r="S100" s="135"/>
      <c r="T100" s="135"/>
      <c r="V100" s="149"/>
      <c r="Y100" s="134"/>
      <c r="Z100" s="134"/>
    </row>
    <row r="101" spans="1:26" s="141" customFormat="1" x14ac:dyDescent="0.2">
      <c r="A101" s="141" t="s">
        <v>1419</v>
      </c>
      <c r="B101" s="134" t="s">
        <v>1437</v>
      </c>
      <c r="C101" s="135" t="s">
        <v>16</v>
      </c>
      <c r="D101" s="136">
        <v>51.3</v>
      </c>
      <c r="E101" s="136">
        <v>12.07</v>
      </c>
      <c r="F101" s="137">
        <v>6850</v>
      </c>
      <c r="G101" s="138" t="s">
        <v>69</v>
      </c>
      <c r="H101" s="138" t="s">
        <v>69</v>
      </c>
      <c r="I101" s="463" t="s">
        <v>162</v>
      </c>
      <c r="J101" s="463" t="s">
        <v>69</v>
      </c>
      <c r="K101" s="139" t="s">
        <v>1438</v>
      </c>
      <c r="L101" s="140" t="s">
        <v>2</v>
      </c>
      <c r="M101" s="141" t="s">
        <v>1439</v>
      </c>
      <c r="N101" s="134" t="s">
        <v>1440</v>
      </c>
      <c r="O101" s="134" t="s">
        <v>69</v>
      </c>
      <c r="P101" s="134" t="s">
        <v>69</v>
      </c>
      <c r="Q101" s="134" t="s">
        <v>69</v>
      </c>
      <c r="R101" s="140"/>
      <c r="S101" s="135"/>
      <c r="T101" s="135"/>
      <c r="V101" s="149"/>
      <c r="Y101" s="134"/>
      <c r="Z101" s="134"/>
    </row>
    <row r="102" spans="1:26" s="141" customFormat="1" x14ac:dyDescent="0.2">
      <c r="A102" s="141" t="s">
        <v>916</v>
      </c>
      <c r="B102" s="134" t="s">
        <v>1437</v>
      </c>
      <c r="C102" s="135" t="s">
        <v>16</v>
      </c>
      <c r="D102" s="136">
        <v>51.3</v>
      </c>
      <c r="E102" s="136">
        <v>12.07</v>
      </c>
      <c r="F102" s="137">
        <f>(G102+H102)/2</f>
        <v>6835.5</v>
      </c>
      <c r="G102" s="138">
        <v>7060</v>
      </c>
      <c r="H102" s="138">
        <v>6611</v>
      </c>
      <c r="I102" s="463" t="s">
        <v>1441</v>
      </c>
      <c r="J102" s="463" t="s">
        <v>69</v>
      </c>
      <c r="K102" s="139" t="s">
        <v>1442</v>
      </c>
      <c r="L102" s="140" t="s">
        <v>2</v>
      </c>
      <c r="M102" s="141" t="s">
        <v>1443</v>
      </c>
      <c r="N102" s="134" t="s">
        <v>1444</v>
      </c>
      <c r="O102" s="134" t="s">
        <v>69</v>
      </c>
      <c r="P102" s="134" t="s">
        <v>69</v>
      </c>
      <c r="Q102" s="134" t="s">
        <v>69</v>
      </c>
      <c r="R102" s="140"/>
      <c r="S102" s="135"/>
      <c r="T102" s="135"/>
      <c r="V102" s="149"/>
      <c r="Y102" s="134"/>
      <c r="Z102" s="134"/>
    </row>
    <row r="103" spans="1:26" s="141" customFormat="1" x14ac:dyDescent="0.2">
      <c r="A103" s="141" t="s">
        <v>1419</v>
      </c>
      <c r="B103" s="134" t="s">
        <v>1420</v>
      </c>
      <c r="C103" s="135" t="s">
        <v>16</v>
      </c>
      <c r="D103" s="136" t="s">
        <v>69</v>
      </c>
      <c r="E103" s="136" t="s">
        <v>69</v>
      </c>
      <c r="F103" s="137">
        <v>3100</v>
      </c>
      <c r="G103" s="138" t="s">
        <v>69</v>
      </c>
      <c r="H103" s="138" t="s">
        <v>69</v>
      </c>
      <c r="I103" s="463" t="s">
        <v>9</v>
      </c>
      <c r="J103" s="463" t="s">
        <v>69</v>
      </c>
      <c r="K103" s="139" t="s">
        <v>1421</v>
      </c>
      <c r="L103" s="140" t="s">
        <v>2</v>
      </c>
      <c r="M103" s="141" t="s">
        <v>1445</v>
      </c>
      <c r="N103" s="134" t="s">
        <v>69</v>
      </c>
      <c r="O103" s="134" t="s">
        <v>69</v>
      </c>
      <c r="P103" s="134"/>
      <c r="Q103" s="134"/>
      <c r="R103" s="140"/>
      <c r="S103" s="135"/>
      <c r="T103" s="135"/>
      <c r="V103" s="149"/>
      <c r="Y103" s="134"/>
      <c r="Z103" s="134"/>
    </row>
    <row r="104" spans="1:26" s="141" customFormat="1" x14ac:dyDescent="0.2">
      <c r="A104" s="141" t="s">
        <v>1419</v>
      </c>
      <c r="B104" s="134" t="s">
        <v>1420</v>
      </c>
      <c r="C104" s="135" t="s">
        <v>16</v>
      </c>
      <c r="D104" s="136" t="s">
        <v>69</v>
      </c>
      <c r="E104" s="136" t="s">
        <v>69</v>
      </c>
      <c r="F104" s="137">
        <v>3200</v>
      </c>
      <c r="G104" s="138" t="s">
        <v>69</v>
      </c>
      <c r="H104" s="138" t="s">
        <v>69</v>
      </c>
      <c r="I104" s="463" t="s">
        <v>9</v>
      </c>
      <c r="J104" s="463" t="s">
        <v>69</v>
      </c>
      <c r="K104" s="139" t="s">
        <v>1421</v>
      </c>
      <c r="L104" s="140" t="s">
        <v>1446</v>
      </c>
      <c r="M104" s="141" t="s">
        <v>1447</v>
      </c>
      <c r="N104" s="134" t="s">
        <v>69</v>
      </c>
      <c r="O104" s="134" t="s">
        <v>69</v>
      </c>
      <c r="P104" s="134"/>
      <c r="Q104" s="134"/>
      <c r="R104" s="140"/>
      <c r="S104" s="135"/>
      <c r="T104" s="135"/>
      <c r="V104" s="149"/>
      <c r="Y104" s="134"/>
      <c r="Z104" s="134"/>
    </row>
    <row r="105" spans="1:26" s="141" customFormat="1" x14ac:dyDescent="0.2">
      <c r="A105" s="141" t="s">
        <v>1430</v>
      </c>
      <c r="B105" s="134" t="s">
        <v>1431</v>
      </c>
      <c r="C105" s="135" t="s">
        <v>16</v>
      </c>
      <c r="D105" s="136">
        <v>51.358333330000001</v>
      </c>
      <c r="E105" s="136">
        <v>7.5511111099999999</v>
      </c>
      <c r="F105" s="137">
        <v>8644</v>
      </c>
      <c r="G105" s="138">
        <v>8744</v>
      </c>
      <c r="H105" s="138">
        <v>8544</v>
      </c>
      <c r="I105" s="463" t="s">
        <v>62</v>
      </c>
      <c r="J105" s="463" t="s">
        <v>69</v>
      </c>
      <c r="K105" s="139" t="s">
        <v>1433</v>
      </c>
      <c r="L105" s="140" t="s">
        <v>69</v>
      </c>
      <c r="M105" s="141" t="s">
        <v>1448</v>
      </c>
      <c r="N105" s="134" t="s">
        <v>69</v>
      </c>
      <c r="O105" s="134" t="s">
        <v>69</v>
      </c>
      <c r="P105" s="134" t="s">
        <v>69</v>
      </c>
      <c r="Q105" s="134" t="s">
        <v>69</v>
      </c>
      <c r="R105" s="140"/>
      <c r="S105" s="135"/>
      <c r="T105" s="135"/>
      <c r="V105" s="149"/>
      <c r="Y105" s="134"/>
      <c r="Z105" s="134"/>
    </row>
    <row r="106" spans="1:26" s="141" customFormat="1" x14ac:dyDescent="0.2">
      <c r="A106" s="141" t="s">
        <v>1419</v>
      </c>
      <c r="B106" s="134" t="s">
        <v>1420</v>
      </c>
      <c r="C106" s="135" t="s">
        <v>16</v>
      </c>
      <c r="D106" s="136" t="s">
        <v>69</v>
      </c>
      <c r="E106" s="136" t="s">
        <v>69</v>
      </c>
      <c r="F106" s="137">
        <v>2950</v>
      </c>
      <c r="G106" s="138" t="s">
        <v>69</v>
      </c>
      <c r="H106" s="138" t="s">
        <v>69</v>
      </c>
      <c r="I106" s="463" t="s">
        <v>62</v>
      </c>
      <c r="J106" s="463" t="s">
        <v>69</v>
      </c>
      <c r="K106" s="139" t="s">
        <v>1421</v>
      </c>
      <c r="L106" s="140" t="s">
        <v>14</v>
      </c>
      <c r="M106" s="141" t="s">
        <v>1449</v>
      </c>
      <c r="N106" s="134" t="s">
        <v>69</v>
      </c>
      <c r="O106" s="134" t="s">
        <v>69</v>
      </c>
      <c r="P106" s="134"/>
      <c r="Q106" s="134"/>
      <c r="R106" s="140"/>
      <c r="S106" s="135"/>
      <c r="T106" s="135"/>
      <c r="V106" s="149"/>
      <c r="Y106" s="134"/>
      <c r="Z106" s="134"/>
    </row>
    <row r="107" spans="1:26" s="141" customFormat="1" x14ac:dyDescent="0.2">
      <c r="A107" s="141" t="s">
        <v>1419</v>
      </c>
      <c r="B107" s="134" t="s">
        <v>1450</v>
      </c>
      <c r="C107" s="135" t="s">
        <v>16</v>
      </c>
      <c r="D107" s="136" t="s">
        <v>69</v>
      </c>
      <c r="E107" s="136" t="s">
        <v>69</v>
      </c>
      <c r="F107" s="137">
        <v>6700</v>
      </c>
      <c r="G107" s="138" t="s">
        <v>69</v>
      </c>
      <c r="H107" s="138" t="s">
        <v>69</v>
      </c>
      <c r="I107" s="463" t="s">
        <v>864</v>
      </c>
      <c r="J107" s="463" t="s">
        <v>69</v>
      </c>
      <c r="K107" s="139" t="s">
        <v>1363</v>
      </c>
      <c r="L107" s="140" t="s">
        <v>14</v>
      </c>
      <c r="M107" s="141" t="s">
        <v>1451</v>
      </c>
      <c r="N107" s="134" t="s">
        <v>69</v>
      </c>
      <c r="O107" s="134" t="s">
        <v>69</v>
      </c>
      <c r="P107" s="134" t="s">
        <v>69</v>
      </c>
      <c r="Q107" s="134" t="s">
        <v>69</v>
      </c>
      <c r="R107" s="140"/>
      <c r="S107" s="135"/>
      <c r="T107" s="135"/>
      <c r="V107" s="149"/>
      <c r="Y107" s="134"/>
      <c r="Z107" s="134"/>
    </row>
    <row r="108" spans="1:26" s="141" customFormat="1" x14ac:dyDescent="0.2">
      <c r="A108" s="141" t="s">
        <v>2267</v>
      </c>
      <c r="B108" s="134" t="s">
        <v>1452</v>
      </c>
      <c r="C108" s="135" t="s">
        <v>16</v>
      </c>
      <c r="D108" s="136">
        <v>48.06</v>
      </c>
      <c r="E108" s="136">
        <v>9.0399999999999991</v>
      </c>
      <c r="F108" s="137">
        <f>(G108+H108)/2</f>
        <v>7250</v>
      </c>
      <c r="G108" s="138">
        <v>7460</v>
      </c>
      <c r="H108" s="138">
        <v>7040</v>
      </c>
      <c r="I108" s="463" t="s">
        <v>991</v>
      </c>
      <c r="J108" s="463" t="s">
        <v>438</v>
      </c>
      <c r="K108" s="139" t="s">
        <v>1453</v>
      </c>
      <c r="L108" s="140" t="s">
        <v>14</v>
      </c>
      <c r="M108" s="141" t="s">
        <v>1453</v>
      </c>
      <c r="N108" s="134" t="s">
        <v>1453</v>
      </c>
      <c r="O108" s="134" t="s">
        <v>69</v>
      </c>
      <c r="P108" s="134" t="s">
        <v>69</v>
      </c>
      <c r="Q108" s="134" t="s">
        <v>69</v>
      </c>
      <c r="R108" s="140"/>
      <c r="S108" s="135"/>
      <c r="T108" s="135"/>
      <c r="V108" s="149"/>
      <c r="Y108" s="134"/>
      <c r="Z108" s="134"/>
    </row>
    <row r="109" spans="1:26" s="141" customFormat="1" x14ac:dyDescent="0.2">
      <c r="A109" s="141" t="s">
        <v>1454</v>
      </c>
      <c r="B109" s="134" t="s">
        <v>1455</v>
      </c>
      <c r="C109" s="135" t="s">
        <v>16</v>
      </c>
      <c r="D109" s="136">
        <v>48.067</v>
      </c>
      <c r="E109" s="136">
        <v>9.1669999999999998</v>
      </c>
      <c r="F109" s="137">
        <f>(G109+H109)/2</f>
        <v>5820</v>
      </c>
      <c r="G109" s="138">
        <v>5940</v>
      </c>
      <c r="H109" s="138">
        <v>5700</v>
      </c>
      <c r="I109" s="463" t="s">
        <v>991</v>
      </c>
      <c r="J109" s="463" t="s">
        <v>69</v>
      </c>
      <c r="K109" s="139" t="s">
        <v>1363</v>
      </c>
      <c r="L109" s="140" t="s">
        <v>69</v>
      </c>
      <c r="M109" s="141" t="s">
        <v>1456</v>
      </c>
      <c r="N109" s="134" t="s">
        <v>1457</v>
      </c>
      <c r="O109" s="134" t="s">
        <v>1458</v>
      </c>
      <c r="P109" s="134" t="s">
        <v>69</v>
      </c>
      <c r="Q109" s="134" t="s">
        <v>69</v>
      </c>
      <c r="R109" s="140"/>
      <c r="S109" s="135"/>
      <c r="T109" s="135"/>
      <c r="V109" s="149"/>
      <c r="Y109" s="134"/>
      <c r="Z109" s="134"/>
    </row>
    <row r="110" spans="1:26" s="141" customFormat="1" x14ac:dyDescent="0.2">
      <c r="A110" s="141" t="s">
        <v>4086</v>
      </c>
      <c r="B110" s="134" t="s">
        <v>1431</v>
      </c>
      <c r="C110" s="135" t="s">
        <v>16</v>
      </c>
      <c r="D110" s="136">
        <v>51.358333330000001</v>
      </c>
      <c r="E110" s="136">
        <v>7.5511111099999999</v>
      </c>
      <c r="F110" s="137">
        <v>8654</v>
      </c>
      <c r="G110" s="138">
        <v>8762</v>
      </c>
      <c r="H110" s="138">
        <v>8546</v>
      </c>
      <c r="I110" s="463" t="s">
        <v>1050</v>
      </c>
      <c r="J110" s="463" t="s">
        <v>69</v>
      </c>
      <c r="K110" s="139" t="s">
        <v>1433</v>
      </c>
      <c r="L110" s="140" t="s">
        <v>2</v>
      </c>
      <c r="M110" s="141" t="s">
        <v>1459</v>
      </c>
      <c r="N110" s="134" t="s">
        <v>69</v>
      </c>
      <c r="O110" s="134" t="s">
        <v>69</v>
      </c>
      <c r="P110" s="134" t="s">
        <v>69</v>
      </c>
      <c r="Q110" s="134" t="s">
        <v>69</v>
      </c>
      <c r="R110" s="140"/>
      <c r="S110" s="135"/>
      <c r="T110" s="135"/>
      <c r="V110" s="149"/>
      <c r="Y110" s="134"/>
      <c r="Z110" s="134"/>
    </row>
    <row r="111" spans="1:26" s="141" customFormat="1" x14ac:dyDescent="0.2">
      <c r="A111" s="141" t="s">
        <v>1460</v>
      </c>
      <c r="B111" s="134" t="s">
        <v>1461</v>
      </c>
      <c r="C111" s="135" t="s">
        <v>16</v>
      </c>
      <c r="D111" s="136">
        <v>53.130285399999998</v>
      </c>
      <c r="E111" s="136">
        <v>13.7935044</v>
      </c>
      <c r="F111" s="137">
        <v>5825</v>
      </c>
      <c r="G111" s="138">
        <v>5873</v>
      </c>
      <c r="H111" s="138">
        <v>5777</v>
      </c>
      <c r="I111" s="463" t="s">
        <v>12</v>
      </c>
      <c r="J111" s="463" t="s">
        <v>69</v>
      </c>
      <c r="K111" s="139" t="s">
        <v>1462</v>
      </c>
      <c r="L111" s="140" t="s">
        <v>14</v>
      </c>
      <c r="M111" s="141" t="s">
        <v>1463</v>
      </c>
      <c r="N111" s="134" t="s">
        <v>69</v>
      </c>
      <c r="O111" s="134" t="s">
        <v>69</v>
      </c>
      <c r="P111" s="134" t="s">
        <v>69</v>
      </c>
      <c r="Q111" s="134" t="s">
        <v>69</v>
      </c>
      <c r="R111" s="140"/>
      <c r="S111" s="135"/>
      <c r="T111" s="135"/>
      <c r="V111" s="149"/>
      <c r="Y111" s="134"/>
      <c r="Z111" s="134"/>
    </row>
    <row r="112" spans="1:26" s="141" customFormat="1" x14ac:dyDescent="0.2">
      <c r="A112" s="141" t="s">
        <v>1460</v>
      </c>
      <c r="B112" s="134" t="s">
        <v>1464</v>
      </c>
      <c r="C112" s="135" t="s">
        <v>16</v>
      </c>
      <c r="D112" s="136">
        <v>53.130285399999998</v>
      </c>
      <c r="E112" s="136">
        <v>13.7935044</v>
      </c>
      <c r="F112" s="137">
        <v>6048</v>
      </c>
      <c r="G112" s="138">
        <v>6070</v>
      </c>
      <c r="H112" s="138">
        <v>6026</v>
      </c>
      <c r="I112" s="463" t="s">
        <v>12</v>
      </c>
      <c r="J112" s="463" t="s">
        <v>69</v>
      </c>
      <c r="K112" s="139" t="s">
        <v>1462</v>
      </c>
      <c r="L112" s="140" t="s">
        <v>2</v>
      </c>
      <c r="M112" s="141" t="s">
        <v>1465</v>
      </c>
      <c r="N112" s="134" t="s">
        <v>69</v>
      </c>
      <c r="O112" s="134" t="s">
        <v>69</v>
      </c>
      <c r="P112" s="134" t="s">
        <v>69</v>
      </c>
      <c r="Q112" s="134" t="s">
        <v>69</v>
      </c>
      <c r="R112" s="140"/>
      <c r="S112" s="135"/>
      <c r="T112" s="135"/>
      <c r="V112" s="149"/>
      <c r="Y112" s="134"/>
      <c r="Z112" s="134"/>
    </row>
    <row r="113" spans="1:127" s="299" customFormat="1" ht="15.75" customHeight="1" x14ac:dyDescent="0.25">
      <c r="A113" s="285" t="s">
        <v>3996</v>
      </c>
      <c r="B113" s="295" t="s">
        <v>4088</v>
      </c>
      <c r="C113" s="301" t="s">
        <v>16</v>
      </c>
      <c r="D113" s="151"/>
      <c r="E113" s="151"/>
      <c r="F113" s="308">
        <v>5800</v>
      </c>
      <c r="G113" s="308">
        <v>6200</v>
      </c>
      <c r="H113" s="308">
        <v>5400</v>
      </c>
      <c r="I113" s="473" t="s">
        <v>2314</v>
      </c>
      <c r="J113" s="463" t="s">
        <v>69</v>
      </c>
      <c r="K113" s="139" t="s">
        <v>1363</v>
      </c>
      <c r="L113" s="298"/>
      <c r="M113" s="292" t="s">
        <v>4087</v>
      </c>
      <c r="N113" s="297"/>
      <c r="O113" s="300"/>
      <c r="P113" s="300"/>
      <c r="Q113" s="300"/>
      <c r="R113" s="298"/>
      <c r="S113" s="300"/>
      <c r="T113" s="300"/>
      <c r="U113" s="300"/>
      <c r="V113" s="300"/>
      <c r="W113" s="300"/>
      <c r="X113" s="300"/>
      <c r="Y113" s="300"/>
      <c r="Z113" s="300"/>
      <c r="AA113" s="300"/>
      <c r="AB113" s="300"/>
      <c r="AC113" s="300"/>
      <c r="AD113" s="300"/>
      <c r="AE113" s="300"/>
      <c r="AF113" s="300"/>
      <c r="AG113" s="300"/>
      <c r="AH113" s="300"/>
      <c r="AI113" s="300"/>
      <c r="AJ113" s="300"/>
      <c r="AK113" s="300"/>
      <c r="AL113" s="300"/>
      <c r="AM113" s="300"/>
      <c r="AN113" s="300"/>
      <c r="AO113" s="300"/>
      <c r="AP113" s="300"/>
      <c r="AQ113" s="300"/>
      <c r="AR113" s="300"/>
      <c r="AS113" s="300"/>
      <c r="AT113" s="300"/>
      <c r="AU113" s="300"/>
      <c r="AV113" s="300"/>
      <c r="AW113" s="300"/>
      <c r="AX113" s="300"/>
      <c r="AY113" s="300"/>
      <c r="AZ113" s="300"/>
      <c r="BA113" s="300"/>
      <c r="BB113" s="300"/>
      <c r="BC113" s="300"/>
      <c r="BD113" s="300"/>
      <c r="BE113" s="300"/>
      <c r="BF113" s="300"/>
      <c r="BG113" s="300"/>
      <c r="BH113" s="300"/>
      <c r="BI113" s="300"/>
      <c r="BJ113" s="300"/>
      <c r="BK113" s="300"/>
      <c r="BL113" s="300"/>
      <c r="BM113" s="300"/>
      <c r="BN113" s="300"/>
      <c r="BO113" s="300"/>
      <c r="BP113" s="300"/>
      <c r="BQ113" s="300"/>
      <c r="BR113" s="300"/>
      <c r="BS113" s="300"/>
      <c r="BT113" s="300"/>
      <c r="BU113" s="300"/>
      <c r="BV113" s="300"/>
      <c r="BW113" s="300"/>
      <c r="BX113" s="300"/>
      <c r="BY113" s="300"/>
      <c r="BZ113" s="300"/>
      <c r="CA113" s="300"/>
      <c r="CB113" s="300"/>
      <c r="CC113" s="300"/>
      <c r="CD113" s="300"/>
      <c r="CE113" s="300"/>
      <c r="CF113" s="300"/>
      <c r="CG113" s="300"/>
      <c r="CH113" s="300"/>
      <c r="CI113" s="300"/>
      <c r="CJ113" s="300"/>
      <c r="CK113" s="300"/>
      <c r="CL113" s="300"/>
      <c r="CM113" s="300"/>
      <c r="CN113" s="300"/>
      <c r="CO113" s="300"/>
      <c r="CP113" s="300"/>
      <c r="CQ113" s="300"/>
      <c r="CR113" s="300"/>
      <c r="CS113" s="300"/>
      <c r="CT113" s="300"/>
      <c r="CU113" s="300"/>
      <c r="CV113" s="300"/>
      <c r="CW113" s="300"/>
      <c r="CX113" s="300"/>
      <c r="CY113" s="300"/>
      <c r="CZ113" s="300"/>
      <c r="DA113" s="300"/>
      <c r="DB113" s="300"/>
      <c r="DC113" s="300"/>
      <c r="DD113" s="300"/>
      <c r="DE113" s="300"/>
      <c r="DF113" s="300"/>
      <c r="DG113" s="300"/>
      <c r="DH113" s="300"/>
      <c r="DI113" s="300"/>
      <c r="DJ113" s="300"/>
      <c r="DK113" s="300"/>
      <c r="DL113" s="300"/>
      <c r="DM113" s="300"/>
      <c r="DN113" s="300"/>
      <c r="DO113" s="300"/>
      <c r="DP113" s="300"/>
      <c r="DQ113" s="300"/>
      <c r="DR113" s="300"/>
      <c r="DS113" s="300"/>
      <c r="DT113" s="300"/>
      <c r="DU113" s="300"/>
      <c r="DV113" s="300"/>
      <c r="DW113" s="300"/>
    </row>
    <row r="114" spans="1:127" s="141" customFormat="1" x14ac:dyDescent="0.2">
      <c r="A114" s="141" t="s">
        <v>1466</v>
      </c>
      <c r="B114" s="134" t="s">
        <v>1467</v>
      </c>
      <c r="C114" s="135" t="s">
        <v>16</v>
      </c>
      <c r="D114" s="136">
        <v>51.230277999999998</v>
      </c>
      <c r="E114" s="136">
        <v>6.7549999999999999</v>
      </c>
      <c r="F114" s="137">
        <v>9620</v>
      </c>
      <c r="G114" s="138">
        <v>9720</v>
      </c>
      <c r="H114" s="138">
        <v>9520</v>
      </c>
      <c r="I114" s="463" t="s">
        <v>510</v>
      </c>
      <c r="J114" s="463" t="s">
        <v>69</v>
      </c>
      <c r="K114" s="139" t="s">
        <v>1468</v>
      </c>
      <c r="L114" s="140" t="s">
        <v>69</v>
      </c>
      <c r="M114" s="141" t="s">
        <v>1469</v>
      </c>
      <c r="N114" s="134" t="s">
        <v>69</v>
      </c>
      <c r="O114" s="134" t="s">
        <v>69</v>
      </c>
      <c r="P114" s="134" t="s">
        <v>69</v>
      </c>
      <c r="Q114" s="134" t="s">
        <v>69</v>
      </c>
      <c r="R114" s="140"/>
      <c r="S114" s="135"/>
      <c r="T114" s="135"/>
      <c r="V114" s="149"/>
      <c r="Y114" s="134"/>
      <c r="Z114" s="134"/>
    </row>
    <row r="115" spans="1:127" s="141" customFormat="1" x14ac:dyDescent="0.2">
      <c r="A115" s="141" t="s">
        <v>1466</v>
      </c>
      <c r="B115" s="134" t="s">
        <v>1467</v>
      </c>
      <c r="C115" s="135" t="s">
        <v>16</v>
      </c>
      <c r="D115" s="136">
        <v>51.230277999999998</v>
      </c>
      <c r="E115" s="136">
        <v>6.7549999999999999</v>
      </c>
      <c r="F115" s="137">
        <v>10230</v>
      </c>
      <c r="G115" s="138">
        <v>10330</v>
      </c>
      <c r="H115" s="138">
        <v>10130</v>
      </c>
      <c r="I115" s="463" t="s">
        <v>510</v>
      </c>
      <c r="J115" s="463" t="s">
        <v>69</v>
      </c>
      <c r="K115" s="139" t="s">
        <v>1468</v>
      </c>
      <c r="L115" s="140" t="s">
        <v>69</v>
      </c>
      <c r="M115" s="141" t="s">
        <v>1470</v>
      </c>
      <c r="N115" s="134" t="s">
        <v>69</v>
      </c>
      <c r="O115" s="134" t="s">
        <v>69</v>
      </c>
      <c r="P115" s="134" t="s">
        <v>69</v>
      </c>
      <c r="Q115" s="134" t="s">
        <v>69</v>
      </c>
      <c r="R115" s="140"/>
      <c r="S115" s="135"/>
      <c r="T115" s="135"/>
      <c r="V115" s="149"/>
      <c r="Y115" s="134"/>
      <c r="Z115" s="134"/>
    </row>
    <row r="116" spans="1:127" s="141" customFormat="1" x14ac:dyDescent="0.2">
      <c r="A116" s="141" t="s">
        <v>1267</v>
      </c>
      <c r="B116" s="134" t="s">
        <v>1471</v>
      </c>
      <c r="C116" s="135" t="s">
        <v>16</v>
      </c>
      <c r="D116" s="136">
        <v>48.33</v>
      </c>
      <c r="E116" s="136">
        <v>10.09</v>
      </c>
      <c r="F116" s="137">
        <f>(G116+H116)/2</f>
        <v>6315</v>
      </c>
      <c r="G116" s="138">
        <v>6420</v>
      </c>
      <c r="H116" s="138">
        <v>6210</v>
      </c>
      <c r="I116" s="463" t="s">
        <v>1353</v>
      </c>
      <c r="J116" s="463" t="s">
        <v>69</v>
      </c>
      <c r="K116" s="139" t="s">
        <v>1363</v>
      </c>
      <c r="L116" s="140" t="s">
        <v>2</v>
      </c>
      <c r="M116" s="141" t="s">
        <v>1472</v>
      </c>
      <c r="N116" s="134" t="s">
        <v>69</v>
      </c>
      <c r="O116" s="134" t="s">
        <v>69</v>
      </c>
      <c r="P116" s="134" t="s">
        <v>69</v>
      </c>
      <c r="Q116" s="134" t="s">
        <v>69</v>
      </c>
      <c r="R116" s="140"/>
      <c r="S116" s="135"/>
      <c r="T116" s="135"/>
      <c r="V116" s="149"/>
      <c r="Y116" s="134"/>
      <c r="Z116" s="134"/>
    </row>
    <row r="117" spans="1:127" s="141" customFormat="1" x14ac:dyDescent="0.2">
      <c r="A117" s="141" t="s">
        <v>1267</v>
      </c>
      <c r="B117" s="134" t="s">
        <v>1473</v>
      </c>
      <c r="C117" s="135" t="s">
        <v>16</v>
      </c>
      <c r="D117" s="136">
        <v>48.49</v>
      </c>
      <c r="E117" s="136">
        <v>10.27</v>
      </c>
      <c r="F117" s="137">
        <f>(G117+H117)/2</f>
        <v>6295</v>
      </c>
      <c r="G117" s="138">
        <v>6480</v>
      </c>
      <c r="H117" s="138">
        <v>6110.0000000000009</v>
      </c>
      <c r="I117" s="463" t="s">
        <v>1353</v>
      </c>
      <c r="J117" s="463" t="s">
        <v>69</v>
      </c>
      <c r="K117" s="139" t="s">
        <v>1363</v>
      </c>
      <c r="L117" s="140" t="s">
        <v>2</v>
      </c>
      <c r="M117" s="141" t="s">
        <v>1474</v>
      </c>
      <c r="N117" s="134" t="s">
        <v>69</v>
      </c>
      <c r="O117" s="134" t="s">
        <v>69</v>
      </c>
      <c r="P117" s="134" t="s">
        <v>69</v>
      </c>
      <c r="Q117" s="134" t="s">
        <v>69</v>
      </c>
      <c r="R117" s="140"/>
      <c r="S117" s="135"/>
      <c r="T117" s="135"/>
      <c r="V117" s="149"/>
      <c r="Y117" s="134"/>
      <c r="Z117" s="134"/>
    </row>
    <row r="118" spans="1:127" s="299" customFormat="1" ht="14.25" customHeight="1" x14ac:dyDescent="0.25">
      <c r="A118" s="285" t="s">
        <v>3996</v>
      </c>
      <c r="B118" s="295" t="s">
        <v>4089</v>
      </c>
      <c r="C118" s="301" t="s">
        <v>16</v>
      </c>
      <c r="D118" s="296"/>
      <c r="E118" s="296"/>
      <c r="F118" s="140" t="s">
        <v>69</v>
      </c>
      <c r="G118" s="140" t="s">
        <v>69</v>
      </c>
      <c r="H118" s="140" t="s">
        <v>69</v>
      </c>
      <c r="I118" s="473" t="s">
        <v>1353</v>
      </c>
      <c r="J118" s="463" t="s">
        <v>69</v>
      </c>
      <c r="K118" s="139" t="s">
        <v>2111</v>
      </c>
      <c r="L118" s="298" t="s">
        <v>14</v>
      </c>
      <c r="M118" s="292" t="s">
        <v>4090</v>
      </c>
      <c r="N118" s="297"/>
      <c r="O118" s="300"/>
      <c r="P118" s="300"/>
      <c r="Q118" s="300"/>
      <c r="R118" s="298"/>
      <c r="S118" s="300"/>
      <c r="T118" s="300"/>
      <c r="U118" s="300"/>
      <c r="V118" s="300"/>
      <c r="W118" s="300"/>
      <c r="X118" s="300"/>
      <c r="Y118" s="300"/>
      <c r="Z118" s="300"/>
      <c r="AA118" s="300"/>
      <c r="AB118" s="300"/>
      <c r="AC118" s="300"/>
      <c r="AD118" s="300"/>
      <c r="AE118" s="300"/>
      <c r="AF118" s="300"/>
      <c r="AG118" s="300"/>
      <c r="AH118" s="300"/>
      <c r="AI118" s="300"/>
      <c r="AJ118" s="300"/>
      <c r="AK118" s="300"/>
      <c r="AL118" s="300"/>
      <c r="AM118" s="300"/>
      <c r="AN118" s="300"/>
      <c r="AO118" s="300"/>
      <c r="AP118" s="300"/>
      <c r="AQ118" s="300"/>
      <c r="AR118" s="300"/>
      <c r="AS118" s="300"/>
      <c r="AT118" s="300"/>
      <c r="AU118" s="300"/>
      <c r="AV118" s="300"/>
      <c r="AW118" s="300"/>
      <c r="AX118" s="300"/>
      <c r="AY118" s="300"/>
      <c r="AZ118" s="300"/>
      <c r="BA118" s="300"/>
      <c r="BB118" s="300"/>
      <c r="BC118" s="300"/>
      <c r="BD118" s="300"/>
      <c r="BE118" s="300"/>
      <c r="BF118" s="300"/>
      <c r="BG118" s="300"/>
      <c r="BH118" s="300"/>
      <c r="BI118" s="300"/>
      <c r="BJ118" s="300"/>
      <c r="BK118" s="300"/>
      <c r="BL118" s="300"/>
      <c r="BM118" s="300"/>
      <c r="BN118" s="300"/>
      <c r="BO118" s="300"/>
      <c r="BP118" s="300"/>
      <c r="BQ118" s="300"/>
      <c r="BR118" s="300"/>
      <c r="BS118" s="300"/>
      <c r="BT118" s="300"/>
      <c r="BU118" s="300"/>
      <c r="BV118" s="300"/>
      <c r="BW118" s="300"/>
      <c r="BX118" s="300"/>
      <c r="BY118" s="300"/>
      <c r="BZ118" s="300"/>
      <c r="CA118" s="300"/>
      <c r="CB118" s="300"/>
      <c r="CC118" s="300"/>
      <c r="CD118" s="300"/>
      <c r="CE118" s="300"/>
      <c r="CF118" s="300"/>
      <c r="CG118" s="300"/>
      <c r="CH118" s="300"/>
      <c r="CI118" s="300"/>
      <c r="CJ118" s="300"/>
      <c r="CK118" s="300"/>
      <c r="CL118" s="300"/>
      <c r="CM118" s="300"/>
      <c r="CN118" s="300"/>
      <c r="CO118" s="300"/>
      <c r="CP118" s="300"/>
      <c r="CQ118" s="300"/>
      <c r="CR118" s="300"/>
      <c r="CS118" s="300"/>
      <c r="CT118" s="300"/>
      <c r="CU118" s="300"/>
      <c r="CV118" s="300"/>
      <c r="CW118" s="300"/>
      <c r="CX118" s="300"/>
      <c r="CY118" s="300"/>
      <c r="CZ118" s="300"/>
      <c r="DA118" s="300"/>
      <c r="DB118" s="300"/>
      <c r="DC118" s="300"/>
      <c r="DD118" s="300"/>
      <c r="DE118" s="300"/>
      <c r="DF118" s="300"/>
      <c r="DG118" s="300"/>
      <c r="DH118" s="300"/>
      <c r="DI118" s="300"/>
      <c r="DJ118" s="300"/>
      <c r="DK118" s="300"/>
      <c r="DL118" s="300"/>
      <c r="DM118" s="300"/>
      <c r="DN118" s="300"/>
      <c r="DO118" s="300"/>
      <c r="DP118" s="300"/>
      <c r="DQ118" s="300"/>
      <c r="DR118" s="300"/>
      <c r="DS118" s="300"/>
      <c r="DT118" s="300"/>
      <c r="DU118" s="300"/>
      <c r="DV118" s="300"/>
      <c r="DW118" s="300"/>
    </row>
    <row r="119" spans="1:127" s="141" customFormat="1" x14ac:dyDescent="0.2">
      <c r="A119" s="141" t="s">
        <v>1419</v>
      </c>
      <c r="B119" s="134" t="s">
        <v>1475</v>
      </c>
      <c r="C119" s="135" t="s">
        <v>16</v>
      </c>
      <c r="D119" s="136">
        <v>48.06</v>
      </c>
      <c r="E119" s="136">
        <v>9.0399999999999991</v>
      </c>
      <c r="F119" s="137">
        <v>7200</v>
      </c>
      <c r="G119" s="138" t="s">
        <v>69</v>
      </c>
      <c r="H119" s="138" t="s">
        <v>69</v>
      </c>
      <c r="I119" s="463" t="s">
        <v>531</v>
      </c>
      <c r="J119" s="463" t="s">
        <v>69</v>
      </c>
      <c r="K119" s="139" t="s">
        <v>1363</v>
      </c>
      <c r="L119" s="140" t="s">
        <v>14</v>
      </c>
      <c r="M119" s="141" t="s">
        <v>1476</v>
      </c>
      <c r="N119" s="134" t="s">
        <v>69</v>
      </c>
      <c r="O119" s="134" t="s">
        <v>69</v>
      </c>
      <c r="P119" s="134" t="s">
        <v>69</v>
      </c>
      <c r="Q119" s="134" t="s">
        <v>69</v>
      </c>
      <c r="R119" s="140"/>
      <c r="S119" s="135"/>
      <c r="T119" s="135"/>
      <c r="V119" s="149"/>
      <c r="Y119" s="134"/>
      <c r="Z119" s="134"/>
    </row>
    <row r="120" spans="1:127" s="141" customFormat="1" x14ac:dyDescent="0.2">
      <c r="A120" s="141" t="s">
        <v>1419</v>
      </c>
      <c r="B120" s="134" t="s">
        <v>1450</v>
      </c>
      <c r="C120" s="135" t="s">
        <v>16</v>
      </c>
      <c r="D120" s="136" t="s">
        <v>69</v>
      </c>
      <c r="E120" s="136" t="s">
        <v>69</v>
      </c>
      <c r="F120" s="137">
        <v>6700</v>
      </c>
      <c r="G120" s="138" t="s">
        <v>69</v>
      </c>
      <c r="H120" s="138" t="s">
        <v>69</v>
      </c>
      <c r="I120" s="463" t="s">
        <v>531</v>
      </c>
      <c r="J120" s="463" t="s">
        <v>69</v>
      </c>
      <c r="K120" s="139" t="s">
        <v>1363</v>
      </c>
      <c r="L120" s="140" t="s">
        <v>2</v>
      </c>
      <c r="M120" s="141" t="s">
        <v>1477</v>
      </c>
      <c r="N120" s="134" t="s">
        <v>69</v>
      </c>
      <c r="O120" s="134" t="s">
        <v>69</v>
      </c>
      <c r="P120" s="134" t="s">
        <v>69</v>
      </c>
      <c r="Q120" s="134" t="s">
        <v>69</v>
      </c>
      <c r="R120" s="140"/>
      <c r="S120" s="135"/>
      <c r="T120" s="135"/>
      <c r="V120" s="149"/>
      <c r="Y120" s="134"/>
      <c r="Z120" s="134"/>
    </row>
    <row r="121" spans="1:127" s="141" customFormat="1" x14ac:dyDescent="0.2">
      <c r="A121" s="141" t="s">
        <v>1430</v>
      </c>
      <c r="B121" s="134" t="s">
        <v>1431</v>
      </c>
      <c r="C121" s="135" t="s">
        <v>16</v>
      </c>
      <c r="D121" s="136">
        <v>51.358333330000001</v>
      </c>
      <c r="E121" s="136">
        <v>7.5511111099999999</v>
      </c>
      <c r="F121" s="137">
        <v>8732</v>
      </c>
      <c r="G121" s="138">
        <v>8838</v>
      </c>
      <c r="H121" s="138">
        <v>8626</v>
      </c>
      <c r="I121" s="463" t="s">
        <v>1478</v>
      </c>
      <c r="J121" s="463" t="s">
        <v>69</v>
      </c>
      <c r="K121" s="139" t="s">
        <v>1433</v>
      </c>
      <c r="L121" s="140" t="s">
        <v>69</v>
      </c>
      <c r="M121" s="141" t="s">
        <v>1479</v>
      </c>
      <c r="N121" s="134" t="s">
        <v>69</v>
      </c>
      <c r="O121" s="134" t="s">
        <v>69</v>
      </c>
      <c r="P121" s="134" t="s">
        <v>69</v>
      </c>
      <c r="Q121" s="134" t="s">
        <v>69</v>
      </c>
      <c r="R121" s="140"/>
      <c r="S121" s="135"/>
      <c r="T121" s="135"/>
      <c r="V121" s="149"/>
      <c r="Y121" s="134"/>
      <c r="Z121" s="134"/>
    </row>
    <row r="122" spans="1:127" s="141" customFormat="1" x14ac:dyDescent="0.2">
      <c r="A122" s="141" t="s">
        <v>1454</v>
      </c>
      <c r="B122" s="134" t="s">
        <v>1450</v>
      </c>
      <c r="C122" s="135" t="s">
        <v>16</v>
      </c>
      <c r="D122" s="136">
        <v>48.533000000000001</v>
      </c>
      <c r="E122" s="136">
        <v>10.167</v>
      </c>
      <c r="F122" s="137">
        <f t="shared" ref="F122:F127" si="3">(G122+H122)/2</f>
        <v>5885</v>
      </c>
      <c r="G122" s="138">
        <v>5965</v>
      </c>
      <c r="H122" s="138">
        <v>5805</v>
      </c>
      <c r="I122" s="463" t="s">
        <v>1480</v>
      </c>
      <c r="J122" s="463" t="s">
        <v>69</v>
      </c>
      <c r="K122" s="139" t="s">
        <v>1363</v>
      </c>
      <c r="L122" s="140" t="s">
        <v>69</v>
      </c>
      <c r="M122" s="141" t="s">
        <v>1481</v>
      </c>
      <c r="N122" s="134" t="s">
        <v>1482</v>
      </c>
      <c r="O122" s="134" t="s">
        <v>1483</v>
      </c>
      <c r="P122" s="134" t="s">
        <v>69</v>
      </c>
      <c r="Q122" s="134" t="s">
        <v>69</v>
      </c>
      <c r="R122" s="140"/>
      <c r="S122" s="135"/>
      <c r="T122" s="135"/>
      <c r="V122" s="149"/>
      <c r="Y122" s="134"/>
      <c r="Z122" s="134"/>
    </row>
    <row r="123" spans="1:127" s="141" customFormat="1" x14ac:dyDescent="0.2">
      <c r="A123" s="141" t="s">
        <v>1267</v>
      </c>
      <c r="B123" s="134" t="s">
        <v>1484</v>
      </c>
      <c r="C123" s="135" t="s">
        <v>16</v>
      </c>
      <c r="D123" s="136">
        <v>48.32</v>
      </c>
      <c r="E123" s="136">
        <v>9.35</v>
      </c>
      <c r="F123" s="137">
        <f t="shared" si="3"/>
        <v>12665</v>
      </c>
      <c r="G123" s="138">
        <v>13130</v>
      </c>
      <c r="H123" s="138">
        <v>12200</v>
      </c>
      <c r="I123" s="463" t="s">
        <v>1301</v>
      </c>
      <c r="J123" s="463">
        <v>1</v>
      </c>
      <c r="K123" s="139" t="s">
        <v>1303</v>
      </c>
      <c r="L123" s="140" t="s">
        <v>14</v>
      </c>
      <c r="M123" s="141" t="s">
        <v>1485</v>
      </c>
      <c r="N123" s="134" t="s">
        <v>69</v>
      </c>
      <c r="O123" s="134" t="s">
        <v>69</v>
      </c>
      <c r="P123" s="134" t="s">
        <v>69</v>
      </c>
      <c r="Q123" s="134" t="s">
        <v>69</v>
      </c>
      <c r="R123" s="140"/>
      <c r="S123" s="135"/>
      <c r="T123" s="135"/>
      <c r="V123" s="149"/>
      <c r="Y123" s="134"/>
      <c r="Z123" s="134"/>
    </row>
    <row r="124" spans="1:127" s="141" customFormat="1" x14ac:dyDescent="0.2">
      <c r="A124" s="141" t="s">
        <v>1267</v>
      </c>
      <c r="B124" s="134" t="s">
        <v>1486</v>
      </c>
      <c r="C124" s="135" t="s">
        <v>16</v>
      </c>
      <c r="D124" s="136">
        <v>48.22</v>
      </c>
      <c r="E124" s="136">
        <v>9.4499999999999993</v>
      </c>
      <c r="F124" s="137">
        <f t="shared" si="3"/>
        <v>13180</v>
      </c>
      <c r="G124" s="138">
        <v>14050</v>
      </c>
      <c r="H124" s="138">
        <v>12310</v>
      </c>
      <c r="I124" s="463" t="s">
        <v>1301</v>
      </c>
      <c r="J124" s="463">
        <v>1</v>
      </c>
      <c r="K124" s="139" t="s">
        <v>1303</v>
      </c>
      <c r="L124" s="140" t="s">
        <v>14</v>
      </c>
      <c r="M124" s="141" t="s">
        <v>1487</v>
      </c>
      <c r="N124" s="134" t="s">
        <v>69</v>
      </c>
      <c r="O124" s="134" t="s">
        <v>69</v>
      </c>
      <c r="P124" s="134" t="s">
        <v>69</v>
      </c>
      <c r="Q124" s="134" t="s">
        <v>69</v>
      </c>
      <c r="R124" s="140"/>
      <c r="S124" s="135"/>
      <c r="T124" s="135"/>
      <c r="V124" s="149"/>
      <c r="Y124" s="134"/>
      <c r="Z124" s="134"/>
    </row>
    <row r="125" spans="1:127" s="141" customFormat="1" x14ac:dyDescent="0.2">
      <c r="A125" s="141" t="s">
        <v>1267</v>
      </c>
      <c r="B125" s="134" t="s">
        <v>1486</v>
      </c>
      <c r="C125" s="135" t="s">
        <v>16</v>
      </c>
      <c r="D125" s="136">
        <v>48.22</v>
      </c>
      <c r="E125" s="136">
        <v>9.4499999999999993</v>
      </c>
      <c r="F125" s="137">
        <f t="shared" si="3"/>
        <v>12720</v>
      </c>
      <c r="G125" s="138">
        <v>13120</v>
      </c>
      <c r="H125" s="138">
        <v>12320</v>
      </c>
      <c r="I125" s="463" t="s">
        <v>1301</v>
      </c>
      <c r="J125" s="463" t="s">
        <v>69</v>
      </c>
      <c r="K125" s="139" t="s">
        <v>1303</v>
      </c>
      <c r="L125" s="140" t="s">
        <v>14</v>
      </c>
      <c r="M125" s="141" t="s">
        <v>1488</v>
      </c>
      <c r="N125" s="134" t="s">
        <v>69</v>
      </c>
      <c r="O125" s="134" t="s">
        <v>69</v>
      </c>
      <c r="P125" s="134" t="s">
        <v>69</v>
      </c>
      <c r="Q125" s="134" t="s">
        <v>69</v>
      </c>
      <c r="R125" s="140"/>
      <c r="S125" s="135"/>
      <c r="T125" s="135"/>
      <c r="V125" s="149"/>
      <c r="Y125" s="134"/>
      <c r="Z125" s="134"/>
    </row>
    <row r="126" spans="1:127" s="141" customFormat="1" x14ac:dyDescent="0.2">
      <c r="A126" s="141" t="s">
        <v>1267</v>
      </c>
      <c r="B126" s="134" t="s">
        <v>1489</v>
      </c>
      <c r="C126" s="135" t="s">
        <v>16</v>
      </c>
      <c r="D126" s="136">
        <v>48.393538999999997</v>
      </c>
      <c r="E126" s="136">
        <v>9.7557308999999997</v>
      </c>
      <c r="F126" s="137">
        <f t="shared" si="3"/>
        <v>12830</v>
      </c>
      <c r="G126" s="138">
        <v>13170</v>
      </c>
      <c r="H126" s="138">
        <v>12490</v>
      </c>
      <c r="I126" s="463" t="s">
        <v>1301</v>
      </c>
      <c r="J126" s="463" t="s">
        <v>69</v>
      </c>
      <c r="K126" s="139" t="s">
        <v>1303</v>
      </c>
      <c r="L126" s="140" t="s">
        <v>14</v>
      </c>
      <c r="M126" s="141" t="s">
        <v>1490</v>
      </c>
      <c r="N126" s="134" t="s">
        <v>69</v>
      </c>
      <c r="O126" s="134" t="s">
        <v>69</v>
      </c>
      <c r="P126" s="134" t="s">
        <v>69</v>
      </c>
      <c r="Q126" s="134" t="s">
        <v>69</v>
      </c>
      <c r="R126" s="140"/>
      <c r="S126" s="135"/>
      <c r="T126" s="135"/>
      <c r="V126" s="149"/>
      <c r="Y126" s="134"/>
      <c r="Z126" s="134"/>
    </row>
    <row r="127" spans="1:127" s="141" customFormat="1" x14ac:dyDescent="0.2">
      <c r="A127" s="141" t="s">
        <v>1454</v>
      </c>
      <c r="B127" s="134" t="s">
        <v>1486</v>
      </c>
      <c r="C127" s="135" t="s">
        <v>16</v>
      </c>
      <c r="D127" s="136">
        <v>48.22</v>
      </c>
      <c r="E127" s="136">
        <v>9.4499999999999993</v>
      </c>
      <c r="F127" s="137">
        <f t="shared" si="3"/>
        <v>10820</v>
      </c>
      <c r="G127" s="138">
        <v>11040</v>
      </c>
      <c r="H127" s="138">
        <v>10600</v>
      </c>
      <c r="I127" s="463" t="s">
        <v>1301</v>
      </c>
      <c r="J127" s="463" t="s">
        <v>69</v>
      </c>
      <c r="K127" s="139" t="s">
        <v>1303</v>
      </c>
      <c r="L127" s="140" t="s">
        <v>69</v>
      </c>
      <c r="M127" s="141" t="s">
        <v>1491</v>
      </c>
      <c r="N127" s="134" t="s">
        <v>1492</v>
      </c>
      <c r="O127" s="134" t="s">
        <v>1493</v>
      </c>
      <c r="P127" s="134" t="s">
        <v>69</v>
      </c>
      <c r="Q127" s="134" t="s">
        <v>69</v>
      </c>
      <c r="R127" s="140"/>
      <c r="S127" s="135"/>
      <c r="T127" s="135"/>
      <c r="V127" s="149"/>
      <c r="Y127" s="134"/>
      <c r="Z127" s="134"/>
    </row>
    <row r="128" spans="1:127" s="141" customFormat="1" x14ac:dyDescent="0.2">
      <c r="A128" s="141" t="s">
        <v>2312</v>
      </c>
      <c r="B128" s="134" t="s">
        <v>2392</v>
      </c>
      <c r="C128" s="135" t="s">
        <v>16</v>
      </c>
      <c r="D128" s="151">
        <v>53.012500500000002</v>
      </c>
      <c r="E128" s="151">
        <v>14.2234701</v>
      </c>
      <c r="F128" s="137">
        <v>4770</v>
      </c>
      <c r="G128" s="138">
        <f>F128+40</f>
        <v>4810</v>
      </c>
      <c r="H128" s="138">
        <f>F128-40</f>
        <v>4730</v>
      </c>
      <c r="I128" s="463" t="s">
        <v>487</v>
      </c>
      <c r="J128" s="463" t="s">
        <v>69</v>
      </c>
      <c r="K128" s="139"/>
      <c r="L128" s="140"/>
      <c r="N128" s="134" t="s">
        <v>2393</v>
      </c>
      <c r="O128" s="134"/>
      <c r="P128" s="134"/>
      <c r="Q128" s="134"/>
      <c r="R128" s="140"/>
      <c r="S128" s="135"/>
      <c r="T128" s="135"/>
      <c r="V128" s="149"/>
      <c r="Y128" s="134"/>
      <c r="Z128" s="134"/>
    </row>
    <row r="129" spans="1:26" s="141" customFormat="1" x14ac:dyDescent="0.2">
      <c r="A129" s="141" t="s">
        <v>2312</v>
      </c>
      <c r="B129" s="134" t="s">
        <v>2392</v>
      </c>
      <c r="C129" s="135" t="s">
        <v>16</v>
      </c>
      <c r="D129" s="151">
        <v>53.012500500000002</v>
      </c>
      <c r="E129" s="151">
        <v>14.2234701</v>
      </c>
      <c r="F129" s="137">
        <v>4600</v>
      </c>
      <c r="G129" s="138">
        <v>4660</v>
      </c>
      <c r="H129" s="138">
        <v>4540</v>
      </c>
      <c r="I129" s="463" t="s">
        <v>1441</v>
      </c>
      <c r="J129" s="463" t="s">
        <v>69</v>
      </c>
      <c r="K129" s="139"/>
      <c r="L129" s="140"/>
      <c r="N129" s="134" t="s">
        <v>2394</v>
      </c>
      <c r="O129" s="134"/>
      <c r="P129" s="134"/>
      <c r="Q129" s="134"/>
      <c r="R129" s="140"/>
      <c r="S129" s="135"/>
      <c r="T129" s="135"/>
      <c r="V129" s="149"/>
      <c r="Y129" s="134"/>
      <c r="Z129" s="134"/>
    </row>
    <row r="130" spans="1:26" s="141" customFormat="1" x14ac:dyDescent="0.2">
      <c r="A130" s="141" t="s">
        <v>391</v>
      </c>
      <c r="B130" s="134" t="s">
        <v>1494</v>
      </c>
      <c r="C130" s="135" t="s">
        <v>966</v>
      </c>
      <c r="D130" s="136">
        <v>39.68</v>
      </c>
      <c r="E130" s="136">
        <v>21.68</v>
      </c>
      <c r="F130" s="137">
        <f>(G130+H130)/2</f>
        <v>7029.5</v>
      </c>
      <c r="G130" s="138">
        <v>7288</v>
      </c>
      <c r="H130" s="138">
        <v>6771</v>
      </c>
      <c r="I130" s="466" t="s">
        <v>4299</v>
      </c>
      <c r="J130" s="463" t="s">
        <v>69</v>
      </c>
      <c r="K130" s="139" t="s">
        <v>1363</v>
      </c>
      <c r="L130" s="140" t="s">
        <v>69</v>
      </c>
      <c r="M130" s="141" t="s">
        <v>1495</v>
      </c>
      <c r="N130" s="134" t="s">
        <v>69</v>
      </c>
      <c r="O130" s="134" t="s">
        <v>69</v>
      </c>
      <c r="P130" s="134" t="s">
        <v>69</v>
      </c>
      <c r="Q130" s="134" t="s">
        <v>69</v>
      </c>
      <c r="R130" s="477" t="s">
        <v>4300</v>
      </c>
      <c r="S130" s="135"/>
      <c r="T130" s="135"/>
      <c r="V130" s="149"/>
      <c r="Y130" s="134"/>
      <c r="Z130" s="134"/>
    </row>
    <row r="131" spans="1:26" s="141" customFormat="1" x14ac:dyDescent="0.2">
      <c r="A131" s="141" t="s">
        <v>391</v>
      </c>
      <c r="B131" s="134" t="s">
        <v>1494</v>
      </c>
      <c r="C131" s="135" t="s">
        <v>966</v>
      </c>
      <c r="D131" s="136">
        <v>39.68</v>
      </c>
      <c r="E131" s="136">
        <v>21.68</v>
      </c>
      <c r="F131" s="137">
        <f>(G131+H131)/2</f>
        <v>7567</v>
      </c>
      <c r="G131" s="138">
        <v>7605</v>
      </c>
      <c r="H131" s="138">
        <v>7529</v>
      </c>
      <c r="I131" s="466" t="s">
        <v>4299</v>
      </c>
      <c r="J131" s="463" t="s">
        <v>69</v>
      </c>
      <c r="K131" s="139" t="s">
        <v>1363</v>
      </c>
      <c r="L131" s="140" t="s">
        <v>69</v>
      </c>
      <c r="M131" s="141" t="s">
        <v>1496</v>
      </c>
      <c r="N131" s="134" t="s">
        <v>69</v>
      </c>
      <c r="O131" s="134" t="s">
        <v>69</v>
      </c>
      <c r="P131" s="134" t="s">
        <v>69</v>
      </c>
      <c r="Q131" s="134" t="s">
        <v>69</v>
      </c>
      <c r="R131" s="477" t="s">
        <v>4300</v>
      </c>
      <c r="S131" s="135"/>
      <c r="T131" s="135"/>
      <c r="V131" s="149"/>
      <c r="Y131" s="134"/>
      <c r="Z131" s="134"/>
    </row>
    <row r="132" spans="1:26" s="141" customFormat="1" x14ac:dyDescent="0.2">
      <c r="A132" s="141" t="s">
        <v>2266</v>
      </c>
      <c r="B132" s="134" t="s">
        <v>580</v>
      </c>
      <c r="C132" s="135" t="s">
        <v>146</v>
      </c>
      <c r="D132" s="136">
        <v>47.93</v>
      </c>
      <c r="E132" s="136">
        <v>21.2</v>
      </c>
      <c r="F132" s="137">
        <f>(G132+H132)/2</f>
        <v>5710</v>
      </c>
      <c r="G132" s="138">
        <v>5780</v>
      </c>
      <c r="H132" s="138">
        <v>5640</v>
      </c>
      <c r="I132" s="463" t="s">
        <v>184</v>
      </c>
      <c r="J132" s="463" t="s">
        <v>581</v>
      </c>
      <c r="K132" s="139" t="s">
        <v>1497</v>
      </c>
      <c r="L132" s="140" t="s">
        <v>14</v>
      </c>
      <c r="M132" s="141" t="s">
        <v>582</v>
      </c>
      <c r="N132" s="134" t="s">
        <v>1498</v>
      </c>
      <c r="O132" s="134" t="s">
        <v>69</v>
      </c>
      <c r="P132" s="134" t="s">
        <v>69</v>
      </c>
      <c r="Q132" s="134" t="s">
        <v>69</v>
      </c>
      <c r="R132" s="140"/>
      <c r="S132" s="135"/>
      <c r="T132" s="135"/>
      <c r="V132" s="149"/>
      <c r="Y132" s="134"/>
      <c r="Z132" s="134"/>
    </row>
    <row r="133" spans="1:26" s="141" customFormat="1" x14ac:dyDescent="0.2">
      <c r="A133" s="141" t="s">
        <v>1499</v>
      </c>
      <c r="B133" s="134" t="s">
        <v>1500</v>
      </c>
      <c r="C133" s="135" t="s">
        <v>146</v>
      </c>
      <c r="D133" s="136">
        <v>42.967230000000001</v>
      </c>
      <c r="E133" s="136">
        <v>16.707190000000001</v>
      </c>
      <c r="F133" s="137">
        <v>6105</v>
      </c>
      <c r="G133" s="138">
        <v>6210</v>
      </c>
      <c r="H133" s="138">
        <v>6000</v>
      </c>
      <c r="I133" s="463" t="s">
        <v>1501</v>
      </c>
      <c r="J133" s="463" t="s">
        <v>69</v>
      </c>
      <c r="K133" s="139" t="s">
        <v>1502</v>
      </c>
      <c r="L133" s="140" t="s">
        <v>14</v>
      </c>
      <c r="M133" s="141" t="s">
        <v>1503</v>
      </c>
      <c r="N133" s="134"/>
      <c r="O133" s="134"/>
      <c r="P133" s="134"/>
      <c r="Q133" s="134"/>
      <c r="R133" s="140"/>
      <c r="S133" s="135"/>
      <c r="T133" s="135"/>
      <c r="V133" s="149"/>
      <c r="Y133" s="134"/>
      <c r="Z133" s="134"/>
    </row>
    <row r="134" spans="1:26" s="141" customFormat="1" x14ac:dyDescent="0.2">
      <c r="A134" s="141" t="s">
        <v>1509</v>
      </c>
      <c r="B134" s="134" t="s">
        <v>1510</v>
      </c>
      <c r="C134" s="135" t="s">
        <v>820</v>
      </c>
      <c r="D134" s="136">
        <v>39.197200000000002</v>
      </c>
      <c r="E134" s="136">
        <v>8.5505999999999993</v>
      </c>
      <c r="F134" s="137">
        <v>8487.5</v>
      </c>
      <c r="G134" s="138">
        <v>9124</v>
      </c>
      <c r="H134" s="138">
        <v>7851</v>
      </c>
      <c r="I134" s="463" t="s">
        <v>1511</v>
      </c>
      <c r="J134" s="463" t="s">
        <v>69</v>
      </c>
      <c r="K134" s="139" t="s">
        <v>1512</v>
      </c>
      <c r="L134" s="140" t="s">
        <v>69</v>
      </c>
      <c r="M134" s="141" t="s">
        <v>1513</v>
      </c>
      <c r="N134" s="134" t="s">
        <v>69</v>
      </c>
      <c r="O134" s="134" t="s">
        <v>69</v>
      </c>
      <c r="P134" s="134" t="s">
        <v>69</v>
      </c>
      <c r="Q134" s="134" t="s">
        <v>69</v>
      </c>
      <c r="R134" s="140"/>
      <c r="S134" s="135"/>
      <c r="T134" s="135"/>
      <c r="V134" s="149"/>
      <c r="Y134" s="134"/>
      <c r="Z134" s="134"/>
    </row>
    <row r="135" spans="1:26" s="141" customFormat="1" x14ac:dyDescent="0.2">
      <c r="A135" s="141" t="s">
        <v>1509</v>
      </c>
      <c r="B135" s="134" t="s">
        <v>1510</v>
      </c>
      <c r="C135" s="135" t="s">
        <v>820</v>
      </c>
      <c r="D135" s="136">
        <v>39.197200000000002</v>
      </c>
      <c r="E135" s="136">
        <v>8.5505999999999993</v>
      </c>
      <c r="F135" s="137">
        <v>7911.5</v>
      </c>
      <c r="G135" s="138">
        <v>8227</v>
      </c>
      <c r="H135" s="138">
        <v>7596</v>
      </c>
      <c r="I135" s="463" t="s">
        <v>614</v>
      </c>
      <c r="J135" s="463" t="s">
        <v>69</v>
      </c>
      <c r="K135" s="139" t="s">
        <v>1512</v>
      </c>
      <c r="L135" s="140" t="s">
        <v>69</v>
      </c>
      <c r="M135" s="141" t="s">
        <v>1514</v>
      </c>
      <c r="N135" s="134" t="s">
        <v>69</v>
      </c>
      <c r="O135" s="134" t="s">
        <v>69</v>
      </c>
      <c r="P135" s="134" t="s">
        <v>69</v>
      </c>
      <c r="Q135" s="134" t="s">
        <v>69</v>
      </c>
      <c r="R135" s="140"/>
      <c r="S135" s="135"/>
      <c r="T135" s="135"/>
      <c r="V135" s="149"/>
      <c r="Y135" s="134"/>
      <c r="Z135" s="134"/>
    </row>
    <row r="136" spans="1:26" s="141" customFormat="1" x14ac:dyDescent="0.2">
      <c r="A136" s="141" t="s">
        <v>1267</v>
      </c>
      <c r="B136" s="134" t="s">
        <v>1515</v>
      </c>
      <c r="C136" s="135" t="s">
        <v>820</v>
      </c>
      <c r="D136" s="136">
        <v>40.729999999999997</v>
      </c>
      <c r="E136" s="136">
        <v>17.57</v>
      </c>
      <c r="F136" s="137">
        <f>(G136+H136)/2</f>
        <v>25670</v>
      </c>
      <c r="G136" s="138">
        <v>25860</v>
      </c>
      <c r="H136" s="138">
        <v>25480</v>
      </c>
      <c r="I136" s="463" t="s">
        <v>14</v>
      </c>
      <c r="J136" s="463" t="s">
        <v>69</v>
      </c>
      <c r="K136" s="139" t="s">
        <v>1269</v>
      </c>
      <c r="L136" s="140" t="s">
        <v>2</v>
      </c>
      <c r="M136" s="141" t="s">
        <v>1516</v>
      </c>
      <c r="N136" s="134" t="s">
        <v>69</v>
      </c>
      <c r="O136" s="134" t="s">
        <v>69</v>
      </c>
      <c r="P136" s="134" t="s">
        <v>69</v>
      </c>
      <c r="Q136" s="134" t="s">
        <v>69</v>
      </c>
      <c r="R136" s="140"/>
      <c r="S136" s="135"/>
      <c r="T136" s="135"/>
      <c r="V136" s="149"/>
      <c r="Y136" s="134"/>
      <c r="Z136" s="134"/>
    </row>
    <row r="137" spans="1:26" s="141" customFormat="1" x14ac:dyDescent="0.2">
      <c r="A137" s="141" t="s">
        <v>1517</v>
      </c>
      <c r="B137" s="134" t="s">
        <v>1518</v>
      </c>
      <c r="C137" s="135" t="s">
        <v>820</v>
      </c>
      <c r="D137" s="136">
        <v>45.552617768812901</v>
      </c>
      <c r="E137" s="136">
        <v>10.884533277246</v>
      </c>
      <c r="F137" s="137">
        <v>37855</v>
      </c>
      <c r="G137" s="138">
        <v>39160</v>
      </c>
      <c r="H137" s="138">
        <v>36550</v>
      </c>
      <c r="I137" s="463" t="s">
        <v>1519</v>
      </c>
      <c r="J137" s="463" t="s">
        <v>69</v>
      </c>
      <c r="K137" s="139" t="s">
        <v>1308</v>
      </c>
      <c r="L137" s="140" t="s">
        <v>69</v>
      </c>
      <c r="M137" s="141" t="s">
        <v>1520</v>
      </c>
      <c r="N137" s="134"/>
      <c r="O137" s="134"/>
      <c r="P137" s="134"/>
      <c r="Q137" s="134"/>
      <c r="R137" s="140"/>
      <c r="S137" s="135"/>
      <c r="T137" s="135"/>
      <c r="V137" s="149"/>
      <c r="Y137" s="134"/>
      <c r="Z137" s="134"/>
    </row>
    <row r="138" spans="1:26" s="141" customFormat="1" x14ac:dyDescent="0.2">
      <c r="A138" s="141" t="s">
        <v>1267</v>
      </c>
      <c r="B138" s="134" t="s">
        <v>1515</v>
      </c>
      <c r="C138" s="135" t="s">
        <v>820</v>
      </c>
      <c r="D138" s="136">
        <v>40.729999999999997</v>
      </c>
      <c r="E138" s="136">
        <v>17.57</v>
      </c>
      <c r="F138" s="137">
        <f>(G138+H138)/2</f>
        <v>27025</v>
      </c>
      <c r="G138" s="138">
        <v>27360</v>
      </c>
      <c r="H138" s="138">
        <v>26690</v>
      </c>
      <c r="I138" s="463" t="s">
        <v>1292</v>
      </c>
      <c r="J138" s="463" t="s">
        <v>69</v>
      </c>
      <c r="K138" s="139" t="s">
        <v>1269</v>
      </c>
      <c r="L138" s="140" t="s">
        <v>2</v>
      </c>
      <c r="M138" s="141" t="s">
        <v>1521</v>
      </c>
      <c r="N138" s="134" t="s">
        <v>69</v>
      </c>
      <c r="O138" s="134" t="s">
        <v>69</v>
      </c>
      <c r="P138" s="134" t="s">
        <v>69</v>
      </c>
      <c r="Q138" s="134" t="s">
        <v>69</v>
      </c>
      <c r="R138" s="140"/>
      <c r="S138" s="135"/>
      <c r="T138" s="135"/>
      <c r="V138" s="149"/>
      <c r="Y138" s="134"/>
      <c r="Z138" s="134"/>
    </row>
    <row r="139" spans="1:26" s="141" customFormat="1" x14ac:dyDescent="0.2">
      <c r="A139" s="141" t="s">
        <v>1267</v>
      </c>
      <c r="B139" s="134" t="s">
        <v>1522</v>
      </c>
      <c r="C139" s="135" t="s">
        <v>820</v>
      </c>
      <c r="D139" s="136">
        <v>41.65</v>
      </c>
      <c r="E139" s="136">
        <v>15.61</v>
      </c>
      <c r="F139" s="137">
        <f>(G139+H139)/2</f>
        <v>25800</v>
      </c>
      <c r="G139" s="138">
        <v>26480</v>
      </c>
      <c r="H139" s="138">
        <v>25120</v>
      </c>
      <c r="I139" s="463" t="s">
        <v>1523</v>
      </c>
      <c r="J139" s="463" t="s">
        <v>69</v>
      </c>
      <c r="K139" s="139" t="s">
        <v>1269</v>
      </c>
      <c r="L139" s="140" t="s">
        <v>2</v>
      </c>
      <c r="M139" s="141" t="s">
        <v>1524</v>
      </c>
      <c r="N139" s="134" t="s">
        <v>69</v>
      </c>
      <c r="O139" s="134" t="s">
        <v>69</v>
      </c>
      <c r="P139" s="134" t="s">
        <v>69</v>
      </c>
      <c r="Q139" s="134" t="s">
        <v>69</v>
      </c>
      <c r="R139" s="140"/>
      <c r="S139" s="135"/>
      <c r="T139" s="135"/>
      <c r="V139" s="149"/>
      <c r="Y139" s="134"/>
      <c r="Z139" s="134"/>
    </row>
    <row r="140" spans="1:26" s="141" customFormat="1" x14ac:dyDescent="0.2">
      <c r="A140" s="141" t="s">
        <v>1466</v>
      </c>
      <c r="B140" s="134" t="s">
        <v>1525</v>
      </c>
      <c r="C140" s="135" t="s">
        <v>820</v>
      </c>
      <c r="D140" s="136">
        <v>41.464167000000003</v>
      </c>
      <c r="E140" s="136">
        <v>15.546111</v>
      </c>
      <c r="F140" s="137">
        <v>11050</v>
      </c>
      <c r="G140" s="138">
        <v>9050</v>
      </c>
      <c r="H140" s="138">
        <v>13050</v>
      </c>
      <c r="I140" s="463" t="s">
        <v>1526</v>
      </c>
      <c r="J140" s="463" t="s">
        <v>69</v>
      </c>
      <c r="K140" s="139" t="s">
        <v>1527</v>
      </c>
      <c r="L140" s="140" t="s">
        <v>69</v>
      </c>
      <c r="M140" s="141" t="s">
        <v>1528</v>
      </c>
      <c r="N140" s="134"/>
      <c r="O140" s="134"/>
      <c r="P140" s="134"/>
      <c r="Q140" s="134"/>
      <c r="R140" s="140"/>
      <c r="S140" s="135"/>
      <c r="T140" s="135"/>
      <c r="V140" s="149"/>
      <c r="Y140" s="134"/>
      <c r="Z140" s="134"/>
    </row>
    <row r="141" spans="1:26" s="141" customFormat="1" x14ac:dyDescent="0.2">
      <c r="A141" s="141" t="s">
        <v>2411</v>
      </c>
      <c r="B141" s="134" t="s">
        <v>1529</v>
      </c>
      <c r="C141" s="135" t="s">
        <v>820</v>
      </c>
      <c r="D141" s="136">
        <v>38.11</v>
      </c>
      <c r="E141" s="136">
        <v>12.79</v>
      </c>
      <c r="F141" s="137">
        <f>(G141+H141)/2</f>
        <v>8712.5</v>
      </c>
      <c r="G141" s="138">
        <v>8790</v>
      </c>
      <c r="H141" s="138">
        <v>8635</v>
      </c>
      <c r="I141" s="463" t="s">
        <v>1526</v>
      </c>
      <c r="J141" s="463" t="s">
        <v>69</v>
      </c>
      <c r="K141" s="139" t="s">
        <v>1530</v>
      </c>
      <c r="L141" s="140" t="s">
        <v>2</v>
      </c>
      <c r="M141" s="141" t="s">
        <v>1531</v>
      </c>
      <c r="N141" s="134" t="s">
        <v>69</v>
      </c>
      <c r="O141" s="134" t="s">
        <v>69</v>
      </c>
      <c r="P141" s="134" t="s">
        <v>69</v>
      </c>
      <c r="Q141" s="134" t="s">
        <v>69</v>
      </c>
      <c r="R141" s="140"/>
      <c r="S141" s="135"/>
      <c r="T141" s="135"/>
      <c r="V141" s="149"/>
      <c r="Y141" s="134"/>
      <c r="Z141" s="134"/>
    </row>
    <row r="142" spans="1:26" s="141" customFormat="1" x14ac:dyDescent="0.2">
      <c r="A142" s="141" t="s">
        <v>2411</v>
      </c>
      <c r="B142" s="134" t="s">
        <v>1529</v>
      </c>
      <c r="C142" s="135" t="s">
        <v>820</v>
      </c>
      <c r="D142" s="136">
        <v>38.11</v>
      </c>
      <c r="E142" s="136">
        <v>12.79</v>
      </c>
      <c r="F142" s="137">
        <f>(G142+H142)/2</f>
        <v>7850</v>
      </c>
      <c r="G142" s="138">
        <v>9150</v>
      </c>
      <c r="H142" s="138">
        <v>6550</v>
      </c>
      <c r="I142" s="463" t="s">
        <v>1526</v>
      </c>
      <c r="J142" s="463" t="s">
        <v>69</v>
      </c>
      <c r="K142" s="139" t="s">
        <v>1530</v>
      </c>
      <c r="L142" s="140" t="s">
        <v>2</v>
      </c>
      <c r="M142" s="141" t="s">
        <v>1532</v>
      </c>
      <c r="N142" s="134" t="s">
        <v>69</v>
      </c>
      <c r="O142" s="134" t="s">
        <v>69</v>
      </c>
      <c r="P142" s="134" t="s">
        <v>69</v>
      </c>
      <c r="Q142" s="134" t="s">
        <v>69</v>
      </c>
      <c r="R142" s="140"/>
      <c r="S142" s="135"/>
      <c r="T142" s="135"/>
      <c r="V142" s="149"/>
      <c r="Y142" s="134"/>
      <c r="Z142" s="134"/>
    </row>
    <row r="143" spans="1:26" s="141" customFormat="1" x14ac:dyDescent="0.2">
      <c r="A143" s="141" t="s">
        <v>2503</v>
      </c>
      <c r="B143" s="134" t="s">
        <v>1533</v>
      </c>
      <c r="C143" s="135" t="s">
        <v>820</v>
      </c>
      <c r="D143" s="136">
        <v>37.93</v>
      </c>
      <c r="E143" s="136">
        <v>12.33</v>
      </c>
      <c r="F143" s="137">
        <f>(G143+H143)/2</f>
        <v>10379.5</v>
      </c>
      <c r="G143" s="138">
        <v>12836</v>
      </c>
      <c r="H143" s="138">
        <v>7923</v>
      </c>
      <c r="I143" s="463" t="s">
        <v>1526</v>
      </c>
      <c r="J143" s="463" t="s">
        <v>69</v>
      </c>
      <c r="K143" s="139" t="s">
        <v>1530</v>
      </c>
      <c r="L143" s="140" t="s">
        <v>2</v>
      </c>
      <c r="M143" s="141" t="s">
        <v>1534</v>
      </c>
      <c r="N143" s="134" t="s">
        <v>69</v>
      </c>
      <c r="O143" s="134" t="s">
        <v>69</v>
      </c>
      <c r="P143" s="134" t="s">
        <v>69</v>
      </c>
      <c r="Q143" s="134" t="s">
        <v>69</v>
      </c>
      <c r="R143" s="140"/>
      <c r="S143" s="135"/>
      <c r="T143" s="135"/>
      <c r="V143" s="149"/>
      <c r="Y143" s="134"/>
      <c r="Z143" s="134"/>
    </row>
    <row r="144" spans="1:26" s="141" customFormat="1" x14ac:dyDescent="0.2">
      <c r="A144" s="141" t="s">
        <v>1535</v>
      </c>
      <c r="B144" s="134" t="s">
        <v>1536</v>
      </c>
      <c r="C144" s="135" t="s">
        <v>820</v>
      </c>
      <c r="D144" s="136">
        <v>45.540607000000001</v>
      </c>
      <c r="E144" s="136">
        <v>11.005622000000001</v>
      </c>
      <c r="F144" s="137">
        <v>14795</v>
      </c>
      <c r="G144" s="138">
        <v>15030</v>
      </c>
      <c r="H144" s="138">
        <v>14560</v>
      </c>
      <c r="I144" s="463" t="s">
        <v>1537</v>
      </c>
      <c r="J144" s="463" t="s">
        <v>420</v>
      </c>
      <c r="K144" s="139" t="s">
        <v>1527</v>
      </c>
      <c r="L144" s="140" t="s">
        <v>69</v>
      </c>
      <c r="M144" s="141" t="s">
        <v>1538</v>
      </c>
      <c r="N144" s="134"/>
      <c r="O144" s="134"/>
      <c r="P144" s="134"/>
      <c r="Q144" s="134"/>
      <c r="R144" s="140"/>
      <c r="S144" s="135"/>
      <c r="T144" s="135"/>
      <c r="V144" s="149"/>
      <c r="Y144" s="134"/>
      <c r="Z144" s="134"/>
    </row>
    <row r="145" spans="1:26" s="141" customFormat="1" x14ac:dyDescent="0.2">
      <c r="A145" s="141" t="s">
        <v>2411</v>
      </c>
      <c r="B145" s="134" t="s">
        <v>1529</v>
      </c>
      <c r="C145" s="135" t="s">
        <v>820</v>
      </c>
      <c r="D145" s="136">
        <v>38.11</v>
      </c>
      <c r="E145" s="136">
        <v>12.79</v>
      </c>
      <c r="F145" s="137">
        <f>(G145+H145)/2</f>
        <v>6416</v>
      </c>
      <c r="G145" s="138">
        <v>6416</v>
      </c>
      <c r="H145" s="138">
        <v>6416</v>
      </c>
      <c r="I145" s="463" t="s">
        <v>1196</v>
      </c>
      <c r="J145" s="463" t="s">
        <v>69</v>
      </c>
      <c r="K145" s="139" t="s">
        <v>1539</v>
      </c>
      <c r="L145" s="140" t="s">
        <v>14</v>
      </c>
      <c r="M145" s="141" t="s">
        <v>1540</v>
      </c>
      <c r="N145" s="134" t="s">
        <v>69</v>
      </c>
      <c r="O145" s="134" t="s">
        <v>69</v>
      </c>
      <c r="P145" s="134" t="s">
        <v>69</v>
      </c>
      <c r="Q145" s="134" t="s">
        <v>69</v>
      </c>
      <c r="R145" s="140"/>
      <c r="S145" s="135"/>
      <c r="T145" s="135"/>
      <c r="V145" s="149"/>
      <c r="Y145" s="134"/>
      <c r="Z145" s="134"/>
    </row>
    <row r="146" spans="1:26" s="141" customFormat="1" x14ac:dyDescent="0.2">
      <c r="A146" s="141" t="s">
        <v>2411</v>
      </c>
      <c r="B146" s="134" t="s">
        <v>1529</v>
      </c>
      <c r="C146" s="135" t="s">
        <v>820</v>
      </c>
      <c r="D146" s="136">
        <v>38.11</v>
      </c>
      <c r="E146" s="136">
        <v>12.79</v>
      </c>
      <c r="F146" s="137">
        <f>(G146+H146)/2</f>
        <v>6628</v>
      </c>
      <c r="G146" s="138">
        <v>6628</v>
      </c>
      <c r="H146" s="138">
        <v>6628</v>
      </c>
      <c r="I146" s="463" t="s">
        <v>864</v>
      </c>
      <c r="J146" s="463" t="s">
        <v>69</v>
      </c>
      <c r="K146" s="139" t="s">
        <v>1539</v>
      </c>
      <c r="L146" s="140" t="s">
        <v>2</v>
      </c>
      <c r="M146" s="141" t="s">
        <v>1541</v>
      </c>
      <c r="N146" s="134" t="s">
        <v>69</v>
      </c>
      <c r="O146" s="134" t="s">
        <v>69</v>
      </c>
      <c r="P146" s="134" t="s">
        <v>69</v>
      </c>
      <c r="Q146" s="134" t="s">
        <v>69</v>
      </c>
      <c r="R146" s="140"/>
      <c r="S146" s="135"/>
      <c r="T146" s="135"/>
      <c r="V146" s="149"/>
      <c r="Y146" s="134"/>
      <c r="Z146" s="134"/>
    </row>
    <row r="147" spans="1:26" s="141" customFormat="1" x14ac:dyDescent="0.2">
      <c r="A147" s="141" t="s">
        <v>2411</v>
      </c>
      <c r="B147" s="134" t="s">
        <v>1529</v>
      </c>
      <c r="C147" s="135" t="s">
        <v>820</v>
      </c>
      <c r="D147" s="136">
        <v>38.11</v>
      </c>
      <c r="E147" s="136">
        <v>12.79</v>
      </c>
      <c r="F147" s="137" t="s">
        <v>468</v>
      </c>
      <c r="G147" s="138" t="s">
        <v>468</v>
      </c>
      <c r="H147" s="138" t="s">
        <v>468</v>
      </c>
      <c r="I147" s="463" t="s">
        <v>1542</v>
      </c>
      <c r="J147" s="463" t="s">
        <v>69</v>
      </c>
      <c r="K147" s="139" t="s">
        <v>1539</v>
      </c>
      <c r="L147" s="140" t="s">
        <v>2</v>
      </c>
      <c r="M147" s="141" t="s">
        <v>1543</v>
      </c>
      <c r="N147" s="134" t="s">
        <v>69</v>
      </c>
      <c r="O147" s="134" t="s">
        <v>69</v>
      </c>
      <c r="P147" s="134" t="s">
        <v>69</v>
      </c>
      <c r="Q147" s="134" t="s">
        <v>69</v>
      </c>
      <c r="R147" s="140"/>
      <c r="S147" s="135"/>
      <c r="T147" s="135"/>
      <c r="V147" s="149"/>
      <c r="Y147" s="134"/>
      <c r="Z147" s="134"/>
    </row>
    <row r="148" spans="1:26" s="141" customFormat="1" x14ac:dyDescent="0.2">
      <c r="A148" s="141" t="s">
        <v>1267</v>
      </c>
      <c r="B148" s="134" t="s">
        <v>1544</v>
      </c>
      <c r="C148" s="135" t="s">
        <v>820</v>
      </c>
      <c r="D148" s="136" t="s">
        <v>69</v>
      </c>
      <c r="E148" s="136" t="s">
        <v>69</v>
      </c>
      <c r="F148" s="137">
        <f t="shared" ref="F148:F154" si="4">(G148+H148)/2</f>
        <v>8905</v>
      </c>
      <c r="G148" s="138">
        <v>9250</v>
      </c>
      <c r="H148" s="138">
        <v>8560</v>
      </c>
      <c r="I148" s="463" t="s">
        <v>510</v>
      </c>
      <c r="J148" s="463" t="s">
        <v>69</v>
      </c>
      <c r="K148" s="139" t="s">
        <v>1363</v>
      </c>
      <c r="L148" s="140" t="s">
        <v>2</v>
      </c>
      <c r="M148" s="141" t="s">
        <v>1545</v>
      </c>
      <c r="N148" s="134" t="s">
        <v>69</v>
      </c>
      <c r="O148" s="134" t="s">
        <v>69</v>
      </c>
      <c r="P148" s="134" t="s">
        <v>69</v>
      </c>
      <c r="Q148" s="134" t="s">
        <v>69</v>
      </c>
      <c r="R148" s="140"/>
      <c r="S148" s="135"/>
      <c r="T148" s="135"/>
      <c r="V148" s="149"/>
      <c r="Y148" s="134"/>
      <c r="Z148" s="134"/>
    </row>
    <row r="149" spans="1:26" s="141" customFormat="1" x14ac:dyDescent="0.2">
      <c r="A149" s="141" t="s">
        <v>842</v>
      </c>
      <c r="B149" s="134" t="s">
        <v>1544</v>
      </c>
      <c r="C149" s="135" t="s">
        <v>820</v>
      </c>
      <c r="D149" s="136" t="s">
        <v>69</v>
      </c>
      <c r="E149" s="136" t="s">
        <v>69</v>
      </c>
      <c r="F149" s="137">
        <f t="shared" si="4"/>
        <v>9958</v>
      </c>
      <c r="G149" s="138">
        <v>10100</v>
      </c>
      <c r="H149" s="138">
        <v>9816</v>
      </c>
      <c r="I149" s="463" t="s">
        <v>519</v>
      </c>
      <c r="J149" s="463" t="s">
        <v>1546</v>
      </c>
      <c r="K149" s="139" t="s">
        <v>1363</v>
      </c>
      <c r="L149" s="140" t="s">
        <v>14</v>
      </c>
      <c r="M149" s="141" t="s">
        <v>1547</v>
      </c>
      <c r="N149" s="134" t="s">
        <v>69</v>
      </c>
      <c r="O149" s="134" t="s">
        <v>69</v>
      </c>
      <c r="P149" s="134" t="s">
        <v>69</v>
      </c>
      <c r="Q149" s="134" t="s">
        <v>69</v>
      </c>
      <c r="R149" s="140"/>
      <c r="S149" s="135"/>
      <c r="T149" s="135"/>
      <c r="V149" s="149"/>
      <c r="Y149" s="134"/>
      <c r="Z149" s="134"/>
    </row>
    <row r="150" spans="1:26" s="141" customFormat="1" x14ac:dyDescent="0.2">
      <c r="A150" s="141" t="s">
        <v>842</v>
      </c>
      <c r="B150" s="134" t="s">
        <v>1544</v>
      </c>
      <c r="C150" s="135" t="s">
        <v>820</v>
      </c>
      <c r="D150" s="136" t="s">
        <v>69</v>
      </c>
      <c r="E150" s="136" t="s">
        <v>69</v>
      </c>
      <c r="F150" s="137">
        <f t="shared" si="4"/>
        <v>8731.5</v>
      </c>
      <c r="G150" s="138">
        <v>8821</v>
      </c>
      <c r="H150" s="138">
        <v>8642</v>
      </c>
      <c r="I150" s="463" t="s">
        <v>519</v>
      </c>
      <c r="J150" s="463" t="s">
        <v>1548</v>
      </c>
      <c r="K150" s="139" t="s">
        <v>1363</v>
      </c>
      <c r="L150" s="140" t="s">
        <v>14</v>
      </c>
      <c r="M150" s="141" t="s">
        <v>1549</v>
      </c>
      <c r="N150" s="134" t="s">
        <v>69</v>
      </c>
      <c r="O150" s="134" t="s">
        <v>69</v>
      </c>
      <c r="P150" s="134" t="s">
        <v>69</v>
      </c>
      <c r="Q150" s="134" t="s">
        <v>69</v>
      </c>
      <c r="R150" s="140"/>
      <c r="S150" s="135"/>
      <c r="T150" s="135"/>
      <c r="V150" s="149"/>
      <c r="Y150" s="134"/>
      <c r="Z150" s="134"/>
    </row>
    <row r="151" spans="1:26" s="141" customFormat="1" x14ac:dyDescent="0.2">
      <c r="A151" s="141" t="s">
        <v>1283</v>
      </c>
      <c r="B151" s="134" t="s">
        <v>1550</v>
      </c>
      <c r="C151" s="135" t="s">
        <v>820</v>
      </c>
      <c r="D151" s="136">
        <v>46.15</v>
      </c>
      <c r="E151" s="136">
        <v>12.21</v>
      </c>
      <c r="F151" s="137">
        <f t="shared" si="4"/>
        <v>12030</v>
      </c>
      <c r="G151" s="138">
        <v>12230</v>
      </c>
      <c r="H151" s="138">
        <v>11830</v>
      </c>
      <c r="I151" s="463" t="s">
        <v>1200</v>
      </c>
      <c r="J151" s="463" t="s">
        <v>1551</v>
      </c>
      <c r="K151" s="139" t="s">
        <v>1550</v>
      </c>
      <c r="L151" s="140" t="s">
        <v>14</v>
      </c>
      <c r="M151" s="141" t="s">
        <v>1550</v>
      </c>
      <c r="N151" s="134" t="s">
        <v>1550</v>
      </c>
      <c r="O151" s="134" t="s">
        <v>69</v>
      </c>
      <c r="P151" s="134" t="s">
        <v>69</v>
      </c>
      <c r="Q151" s="134" t="s">
        <v>69</v>
      </c>
      <c r="R151" s="140"/>
      <c r="S151" s="135"/>
      <c r="T151" s="135"/>
      <c r="V151" s="149"/>
      <c r="Y151" s="134"/>
      <c r="Z151" s="134"/>
    </row>
    <row r="152" spans="1:26" s="141" customFormat="1" x14ac:dyDescent="0.2">
      <c r="A152" s="141" t="s">
        <v>1454</v>
      </c>
      <c r="B152" s="134" t="s">
        <v>1522</v>
      </c>
      <c r="C152" s="135" t="s">
        <v>820</v>
      </c>
      <c r="D152" s="136">
        <v>41.65</v>
      </c>
      <c r="E152" s="136">
        <v>15.61</v>
      </c>
      <c r="F152" s="137">
        <f t="shared" si="4"/>
        <v>13510</v>
      </c>
      <c r="G152" s="138">
        <v>13730</v>
      </c>
      <c r="H152" s="138">
        <v>13290</v>
      </c>
      <c r="I152" s="463" t="s">
        <v>1200</v>
      </c>
      <c r="J152" s="463" t="s">
        <v>69</v>
      </c>
      <c r="K152" s="139" t="s">
        <v>1274</v>
      </c>
      <c r="L152" s="140" t="s">
        <v>69</v>
      </c>
      <c r="M152" s="141" t="s">
        <v>1552</v>
      </c>
      <c r="N152" s="134" t="s">
        <v>1553</v>
      </c>
      <c r="O152" s="134" t="s">
        <v>1554</v>
      </c>
      <c r="P152" s="134" t="s">
        <v>69</v>
      </c>
      <c r="Q152" s="134" t="s">
        <v>69</v>
      </c>
      <c r="R152" s="140"/>
      <c r="S152" s="135"/>
      <c r="T152" s="135"/>
      <c r="V152" s="149"/>
      <c r="Y152" s="134"/>
      <c r="Z152" s="134"/>
    </row>
    <row r="153" spans="1:26" s="141" customFormat="1" x14ac:dyDescent="0.2">
      <c r="A153" s="141" t="s">
        <v>2411</v>
      </c>
      <c r="B153" s="134" t="s">
        <v>1529</v>
      </c>
      <c r="C153" s="135" t="s">
        <v>820</v>
      </c>
      <c r="D153" s="136">
        <v>38.11</v>
      </c>
      <c r="E153" s="136">
        <v>12.79</v>
      </c>
      <c r="F153" s="137">
        <f t="shared" si="4"/>
        <v>6538</v>
      </c>
      <c r="G153" s="138">
        <v>6599</v>
      </c>
      <c r="H153" s="138">
        <v>6477</v>
      </c>
      <c r="I153" s="463" t="s">
        <v>1200</v>
      </c>
      <c r="J153" s="463" t="s">
        <v>69</v>
      </c>
      <c r="K153" s="139" t="s">
        <v>1539</v>
      </c>
      <c r="L153" s="140" t="s">
        <v>2</v>
      </c>
      <c r="M153" s="141" t="s">
        <v>1555</v>
      </c>
      <c r="N153" s="134" t="s">
        <v>69</v>
      </c>
      <c r="O153" s="134" t="s">
        <v>69</v>
      </c>
      <c r="P153" s="134" t="s">
        <v>69</v>
      </c>
      <c r="Q153" s="134" t="s">
        <v>69</v>
      </c>
      <c r="R153" s="140"/>
      <c r="S153" s="135"/>
      <c r="T153" s="135"/>
      <c r="V153" s="149"/>
      <c r="Y153" s="134"/>
      <c r="Z153" s="134"/>
    </row>
    <row r="154" spans="1:26" s="141" customFormat="1" x14ac:dyDescent="0.2">
      <c r="A154" s="141" t="s">
        <v>2411</v>
      </c>
      <c r="B154" s="134" t="s">
        <v>1529</v>
      </c>
      <c r="C154" s="135" t="s">
        <v>820</v>
      </c>
      <c r="D154" s="136">
        <v>38.11</v>
      </c>
      <c r="E154" s="136">
        <v>12.79</v>
      </c>
      <c r="F154" s="137">
        <f t="shared" si="4"/>
        <v>6681</v>
      </c>
      <c r="G154" s="138">
        <v>6753</v>
      </c>
      <c r="H154" s="138">
        <v>6609</v>
      </c>
      <c r="I154" s="463" t="s">
        <v>1200</v>
      </c>
      <c r="J154" s="463" t="s">
        <v>69</v>
      </c>
      <c r="K154" s="139" t="s">
        <v>1539</v>
      </c>
      <c r="L154" s="140" t="s">
        <v>2</v>
      </c>
      <c r="M154" s="141" t="s">
        <v>1556</v>
      </c>
      <c r="N154" s="134" t="s">
        <v>69</v>
      </c>
      <c r="O154" s="134" t="s">
        <v>69</v>
      </c>
      <c r="P154" s="134" t="s">
        <v>69</v>
      </c>
      <c r="Q154" s="134" t="s">
        <v>69</v>
      </c>
      <c r="R154" s="140"/>
      <c r="S154" s="135"/>
      <c r="T154" s="135"/>
      <c r="V154" s="149"/>
      <c r="Y154" s="134"/>
      <c r="Z154" s="134"/>
    </row>
    <row r="155" spans="1:26" s="141" customFormat="1" x14ac:dyDescent="0.2">
      <c r="A155" s="141" t="s">
        <v>1466</v>
      </c>
      <c r="B155" s="134" t="s">
        <v>1557</v>
      </c>
      <c r="C155" s="135" t="s">
        <v>820</v>
      </c>
      <c r="D155" s="136">
        <v>42.35</v>
      </c>
      <c r="E155" s="136">
        <v>13.4</v>
      </c>
      <c r="F155" s="137">
        <v>12324.5</v>
      </c>
      <c r="G155" s="138">
        <v>14776</v>
      </c>
      <c r="H155" s="138">
        <v>9873</v>
      </c>
      <c r="I155" s="463" t="s">
        <v>1558</v>
      </c>
      <c r="J155" s="463" t="s">
        <v>69</v>
      </c>
      <c r="K155" s="139" t="s">
        <v>1527</v>
      </c>
      <c r="L155" s="140" t="s">
        <v>69</v>
      </c>
      <c r="M155" s="141" t="s">
        <v>1559</v>
      </c>
      <c r="N155" s="134"/>
      <c r="O155" s="134"/>
      <c r="P155" s="134"/>
      <c r="Q155" s="134"/>
      <c r="R155" s="140"/>
      <c r="S155" s="135"/>
      <c r="T155" s="135"/>
      <c r="V155" s="149"/>
      <c r="Y155" s="134"/>
      <c r="Z155" s="134"/>
    </row>
    <row r="156" spans="1:26" s="141" customFormat="1" x14ac:dyDescent="0.2">
      <c r="A156" s="141" t="s">
        <v>2411</v>
      </c>
      <c r="B156" s="134" t="s">
        <v>1529</v>
      </c>
      <c r="C156" s="135" t="s">
        <v>820</v>
      </c>
      <c r="D156" s="136">
        <v>38.11</v>
      </c>
      <c r="E156" s="136">
        <v>12.79</v>
      </c>
      <c r="F156" s="137">
        <f t="shared" ref="F156:F161" si="5">(G156+H156)/2</f>
        <v>6683</v>
      </c>
      <c r="G156" s="138">
        <v>6683</v>
      </c>
      <c r="H156" s="138">
        <v>6683</v>
      </c>
      <c r="I156" s="463" t="s">
        <v>1560</v>
      </c>
      <c r="J156" s="463" t="s">
        <v>69</v>
      </c>
      <c r="K156" s="139" t="s">
        <v>1539</v>
      </c>
      <c r="L156" s="140" t="s">
        <v>2</v>
      </c>
      <c r="M156" s="141" t="s">
        <v>1561</v>
      </c>
      <c r="N156" s="134" t="s">
        <v>69</v>
      </c>
      <c r="O156" s="134" t="s">
        <v>69</v>
      </c>
      <c r="P156" s="134" t="s">
        <v>69</v>
      </c>
      <c r="Q156" s="134" t="s">
        <v>69</v>
      </c>
      <c r="R156" s="140"/>
      <c r="S156" s="135"/>
      <c r="T156" s="135"/>
      <c r="V156" s="149"/>
      <c r="Y156" s="134"/>
      <c r="Z156" s="134"/>
    </row>
    <row r="157" spans="1:26" s="141" customFormat="1" x14ac:dyDescent="0.2">
      <c r="A157" s="141" t="s">
        <v>842</v>
      </c>
      <c r="B157" s="134" t="s">
        <v>1544</v>
      </c>
      <c r="C157" s="135" t="s">
        <v>820</v>
      </c>
      <c r="D157" s="136" t="s">
        <v>69</v>
      </c>
      <c r="E157" s="136" t="s">
        <v>69</v>
      </c>
      <c r="F157" s="137">
        <f t="shared" si="5"/>
        <v>7174.5</v>
      </c>
      <c r="G157" s="138">
        <v>7284</v>
      </c>
      <c r="H157" s="138">
        <v>7065</v>
      </c>
      <c r="I157" s="463" t="s">
        <v>1562</v>
      </c>
      <c r="J157" s="463" t="s">
        <v>1548</v>
      </c>
      <c r="K157" s="139" t="s">
        <v>1563</v>
      </c>
      <c r="L157" s="140" t="s">
        <v>14</v>
      </c>
      <c r="M157" s="141" t="s">
        <v>1564</v>
      </c>
      <c r="N157" s="134" t="s">
        <v>69</v>
      </c>
      <c r="O157" s="134" t="s">
        <v>69</v>
      </c>
      <c r="P157" s="134" t="s">
        <v>69</v>
      </c>
      <c r="Q157" s="134" t="s">
        <v>69</v>
      </c>
      <c r="R157" s="140"/>
      <c r="S157" s="135"/>
      <c r="T157" s="135"/>
      <c r="V157" s="149"/>
      <c r="Y157" s="134"/>
      <c r="Z157" s="134"/>
    </row>
    <row r="158" spans="1:26" s="141" customFormat="1" x14ac:dyDescent="0.2">
      <c r="A158" s="141" t="s">
        <v>2411</v>
      </c>
      <c r="B158" s="134" t="s">
        <v>1529</v>
      </c>
      <c r="C158" s="135" t="s">
        <v>820</v>
      </c>
      <c r="D158" s="136">
        <v>38.11</v>
      </c>
      <c r="E158" s="136">
        <v>12.79</v>
      </c>
      <c r="F158" s="137">
        <f t="shared" si="5"/>
        <v>6684</v>
      </c>
      <c r="G158" s="138">
        <v>6684</v>
      </c>
      <c r="H158" s="138">
        <v>6684</v>
      </c>
      <c r="I158" s="463" t="s">
        <v>1565</v>
      </c>
      <c r="J158" s="463" t="s">
        <v>69</v>
      </c>
      <c r="K158" s="139" t="s">
        <v>1539</v>
      </c>
      <c r="L158" s="140" t="s">
        <v>2</v>
      </c>
      <c r="M158" s="141" t="s">
        <v>1566</v>
      </c>
      <c r="N158" s="134" t="s">
        <v>69</v>
      </c>
      <c r="O158" s="134" t="s">
        <v>69</v>
      </c>
      <c r="P158" s="134" t="s">
        <v>69</v>
      </c>
      <c r="Q158" s="134" t="s">
        <v>69</v>
      </c>
      <c r="R158" s="140"/>
      <c r="S158" s="135"/>
      <c r="T158" s="135"/>
      <c r="V158" s="149"/>
      <c r="Y158" s="134"/>
      <c r="Z158" s="134"/>
    </row>
    <row r="159" spans="1:26" s="141" customFormat="1" x14ac:dyDescent="0.2">
      <c r="A159" s="141" t="s">
        <v>2411</v>
      </c>
      <c r="B159" s="134" t="s">
        <v>1529</v>
      </c>
      <c r="C159" s="135" t="s">
        <v>820</v>
      </c>
      <c r="D159" s="136">
        <v>38.11</v>
      </c>
      <c r="E159" s="136">
        <v>12.79</v>
      </c>
      <c r="F159" s="137">
        <f t="shared" si="5"/>
        <v>6682</v>
      </c>
      <c r="G159" s="138">
        <v>6682</v>
      </c>
      <c r="H159" s="138">
        <v>6682</v>
      </c>
      <c r="I159" s="463" t="s">
        <v>1565</v>
      </c>
      <c r="J159" s="463" t="s">
        <v>69</v>
      </c>
      <c r="K159" s="139" t="s">
        <v>1539</v>
      </c>
      <c r="L159" s="140" t="s">
        <v>14</v>
      </c>
      <c r="M159" s="141" t="s">
        <v>1567</v>
      </c>
      <c r="N159" s="134" t="s">
        <v>69</v>
      </c>
      <c r="O159" s="134" t="s">
        <v>69</v>
      </c>
      <c r="P159" s="134" t="s">
        <v>69</v>
      </c>
      <c r="Q159" s="134" t="s">
        <v>69</v>
      </c>
      <c r="R159" s="140"/>
      <c r="S159" s="135"/>
      <c r="T159" s="135"/>
      <c r="V159" s="149"/>
      <c r="Y159" s="134"/>
      <c r="Z159" s="134"/>
    </row>
    <row r="160" spans="1:26" s="141" customFormat="1" x14ac:dyDescent="0.2">
      <c r="A160" s="141" t="s">
        <v>2411</v>
      </c>
      <c r="B160" s="134" t="s">
        <v>1529</v>
      </c>
      <c r="C160" s="135" t="s">
        <v>820</v>
      </c>
      <c r="D160" s="136">
        <v>38.11</v>
      </c>
      <c r="E160" s="136">
        <v>12.79</v>
      </c>
      <c r="F160" s="137">
        <f t="shared" si="5"/>
        <v>5989</v>
      </c>
      <c r="G160" s="138">
        <v>5989</v>
      </c>
      <c r="H160" s="138">
        <v>5989</v>
      </c>
      <c r="I160" s="463" t="s">
        <v>1565</v>
      </c>
      <c r="J160" s="463" t="s">
        <v>69</v>
      </c>
      <c r="K160" s="139" t="s">
        <v>1539</v>
      </c>
      <c r="L160" s="140" t="s">
        <v>2</v>
      </c>
      <c r="M160" s="141" t="s">
        <v>1568</v>
      </c>
      <c r="N160" s="134" t="s">
        <v>69</v>
      </c>
      <c r="O160" s="134" t="s">
        <v>69</v>
      </c>
      <c r="P160" s="134" t="s">
        <v>69</v>
      </c>
      <c r="Q160" s="134" t="s">
        <v>69</v>
      </c>
      <c r="R160" s="140"/>
      <c r="S160" s="135"/>
      <c r="T160" s="135"/>
      <c r="V160" s="149"/>
      <c r="Y160" s="134"/>
      <c r="Z160" s="134"/>
    </row>
    <row r="161" spans="1:26" s="141" customFormat="1" x14ac:dyDescent="0.2">
      <c r="A161" s="141" t="s">
        <v>1267</v>
      </c>
      <c r="B161" s="134" t="s">
        <v>1522</v>
      </c>
      <c r="C161" s="135" t="s">
        <v>820</v>
      </c>
      <c r="D161" s="136">
        <v>41.65</v>
      </c>
      <c r="E161" s="136">
        <v>15.61</v>
      </c>
      <c r="F161" s="137">
        <f t="shared" si="5"/>
        <v>30945</v>
      </c>
      <c r="G161" s="138">
        <v>32630</v>
      </c>
      <c r="H161" s="138">
        <v>29260</v>
      </c>
      <c r="I161" s="463" t="s">
        <v>1331</v>
      </c>
      <c r="J161" s="463">
        <v>1</v>
      </c>
      <c r="K161" s="139" t="s">
        <v>1269</v>
      </c>
      <c r="L161" s="140" t="s">
        <v>14</v>
      </c>
      <c r="M161" s="141" t="s">
        <v>1569</v>
      </c>
      <c r="N161" s="134" t="s">
        <v>69</v>
      </c>
      <c r="O161" s="134" t="s">
        <v>69</v>
      </c>
      <c r="P161" s="134" t="s">
        <v>69</v>
      </c>
      <c r="Q161" s="134" t="s">
        <v>69</v>
      </c>
      <c r="R161" s="140"/>
      <c r="S161" s="135"/>
      <c r="T161" s="135"/>
      <c r="V161" s="149"/>
      <c r="Y161" s="134"/>
      <c r="Z161" s="134"/>
    </row>
    <row r="162" spans="1:26" s="141" customFormat="1" x14ac:dyDescent="0.2">
      <c r="A162" s="141" t="s">
        <v>1632</v>
      </c>
      <c r="B162" s="134" t="s">
        <v>1633</v>
      </c>
      <c r="C162" s="135" t="s">
        <v>1634</v>
      </c>
      <c r="D162" s="136">
        <v>49.81</v>
      </c>
      <c r="E162" s="136">
        <v>6.4</v>
      </c>
      <c r="F162" s="137">
        <f>(G162+H162)/2</f>
        <v>6100</v>
      </c>
      <c r="G162" s="138">
        <v>6210</v>
      </c>
      <c r="H162" s="138">
        <v>5990</v>
      </c>
      <c r="I162" s="463" t="s">
        <v>1385</v>
      </c>
      <c r="J162" s="463" t="s">
        <v>420</v>
      </c>
      <c r="K162" s="139" t="s">
        <v>1635</v>
      </c>
      <c r="L162" s="140" t="s">
        <v>14</v>
      </c>
      <c r="M162" s="141" t="s">
        <v>1635</v>
      </c>
      <c r="N162" s="134" t="s">
        <v>1636</v>
      </c>
      <c r="O162" s="134" t="s">
        <v>69</v>
      </c>
      <c r="P162" s="134" t="s">
        <v>69</v>
      </c>
      <c r="Q162" s="134" t="s">
        <v>69</v>
      </c>
      <c r="R162" s="140"/>
      <c r="S162" s="135"/>
      <c r="T162" s="135"/>
      <c r="V162" s="149"/>
      <c r="Y162" s="134"/>
      <c r="Z162" s="134"/>
    </row>
    <row r="163" spans="1:26" s="141" customFormat="1" x14ac:dyDescent="0.2">
      <c r="A163" s="141" t="s">
        <v>1637</v>
      </c>
      <c r="B163" s="134" t="s">
        <v>1638</v>
      </c>
      <c r="C163" s="135" t="s">
        <v>1639</v>
      </c>
      <c r="D163" s="136">
        <v>58.064</v>
      </c>
      <c r="E163" s="136">
        <v>7.7430000000000003</v>
      </c>
      <c r="F163" s="137">
        <f>(G163+H163)/2</f>
        <v>7413.5</v>
      </c>
      <c r="G163" s="138">
        <v>7502</v>
      </c>
      <c r="H163" s="138">
        <v>7325</v>
      </c>
      <c r="I163" s="463" t="s">
        <v>864</v>
      </c>
      <c r="J163" s="463" t="s">
        <v>69</v>
      </c>
      <c r="K163" s="139" t="s">
        <v>1640</v>
      </c>
      <c r="L163" s="140" t="s">
        <v>2</v>
      </c>
      <c r="M163" s="141" t="s">
        <v>1641</v>
      </c>
      <c r="N163" s="134" t="s">
        <v>1642</v>
      </c>
      <c r="O163" s="134" t="s">
        <v>1643</v>
      </c>
      <c r="P163" s="134" t="s">
        <v>1644</v>
      </c>
      <c r="Q163" s="134" t="s">
        <v>69</v>
      </c>
      <c r="R163" s="140"/>
      <c r="S163" s="135"/>
      <c r="T163" s="135"/>
      <c r="V163" s="149"/>
      <c r="Y163" s="134"/>
      <c r="Z163" s="134"/>
    </row>
    <row r="164" spans="1:26" s="141" customFormat="1" x14ac:dyDescent="0.2">
      <c r="A164" s="141" t="s">
        <v>1637</v>
      </c>
      <c r="B164" s="134" t="s">
        <v>1638</v>
      </c>
      <c r="C164" s="135" t="s">
        <v>1639</v>
      </c>
      <c r="D164" s="136">
        <v>58.064</v>
      </c>
      <c r="E164" s="136">
        <v>7.7430000000000003</v>
      </c>
      <c r="F164" s="137">
        <f>(G164+H164)/2</f>
        <v>7413.5</v>
      </c>
      <c r="G164" s="138">
        <v>7502</v>
      </c>
      <c r="H164" s="138">
        <v>7325</v>
      </c>
      <c r="I164" s="463" t="s">
        <v>1591</v>
      </c>
      <c r="J164" s="463" t="s">
        <v>1645</v>
      </c>
      <c r="K164" s="139" t="s">
        <v>1640</v>
      </c>
      <c r="L164" s="140" t="s">
        <v>14</v>
      </c>
      <c r="M164" s="141" t="s">
        <v>1646</v>
      </c>
      <c r="N164" s="134" t="s">
        <v>122</v>
      </c>
      <c r="O164" s="134" t="s">
        <v>1647</v>
      </c>
      <c r="P164" s="134" t="s">
        <v>69</v>
      </c>
      <c r="Q164" s="134" t="s">
        <v>69</v>
      </c>
      <c r="R164" s="140"/>
      <c r="S164" s="135"/>
      <c r="T164" s="135"/>
      <c r="V164" s="149"/>
      <c r="Y164" s="134"/>
      <c r="Z164" s="134"/>
    </row>
    <row r="165" spans="1:26" s="141" customFormat="1" x14ac:dyDescent="0.2">
      <c r="A165" s="141" t="s">
        <v>1637</v>
      </c>
      <c r="B165" s="134" t="s">
        <v>1648</v>
      </c>
      <c r="C165" s="135" t="s">
        <v>1639</v>
      </c>
      <c r="D165" s="136">
        <v>67.802999999999997</v>
      </c>
      <c r="E165" s="136">
        <v>14.66</v>
      </c>
      <c r="F165" s="137">
        <f>(G165+H165)/2</f>
        <v>3907</v>
      </c>
      <c r="G165" s="138">
        <v>4000</v>
      </c>
      <c r="H165" s="138">
        <v>3814</v>
      </c>
      <c r="I165" s="463" t="s">
        <v>1591</v>
      </c>
      <c r="J165" s="463" t="s">
        <v>1649</v>
      </c>
      <c r="K165" s="139" t="s">
        <v>1640</v>
      </c>
      <c r="L165" s="140" t="s">
        <v>14</v>
      </c>
      <c r="M165" s="141" t="s">
        <v>1648</v>
      </c>
      <c r="N165" s="134" t="s">
        <v>69</v>
      </c>
      <c r="O165" s="134" t="s">
        <v>69</v>
      </c>
      <c r="P165" s="134" t="s">
        <v>69</v>
      </c>
      <c r="Q165" s="134" t="s">
        <v>69</v>
      </c>
      <c r="R165" s="140"/>
      <c r="S165" s="135"/>
      <c r="T165" s="135"/>
      <c r="V165" s="149"/>
      <c r="Y165" s="134"/>
      <c r="Z165" s="134"/>
    </row>
    <row r="166" spans="1:26" s="141" customFormat="1" x14ac:dyDescent="0.2">
      <c r="A166" s="141" t="s">
        <v>2504</v>
      </c>
      <c r="B166" s="134" t="s">
        <v>1638</v>
      </c>
      <c r="C166" s="135" t="s">
        <v>1639</v>
      </c>
      <c r="D166" s="167">
        <v>58.064</v>
      </c>
      <c r="E166" s="167">
        <v>7.7430000000000003</v>
      </c>
      <c r="F166" s="168">
        <v>7196.5</v>
      </c>
      <c r="G166" s="167">
        <v>7336</v>
      </c>
      <c r="H166" s="167">
        <v>7057</v>
      </c>
      <c r="I166" s="467" t="s">
        <v>162</v>
      </c>
      <c r="J166" s="467" t="s">
        <v>1063</v>
      </c>
      <c r="K166" s="139"/>
      <c r="L166" s="140"/>
      <c r="M166" s="134" t="s">
        <v>2664</v>
      </c>
      <c r="N166" s="134"/>
      <c r="O166" s="134"/>
      <c r="P166" s="134"/>
      <c r="Q166" s="134"/>
      <c r="R166" s="140"/>
      <c r="S166" s="135"/>
      <c r="T166" s="135"/>
      <c r="V166" s="149"/>
      <c r="Y166" s="134"/>
      <c r="Z166" s="134"/>
    </row>
    <row r="167" spans="1:26" s="141" customFormat="1" x14ac:dyDescent="0.2">
      <c r="A167" s="141" t="s">
        <v>1667</v>
      </c>
      <c r="B167" s="134" t="s">
        <v>1668</v>
      </c>
      <c r="C167" s="135" t="s">
        <v>149</v>
      </c>
      <c r="D167" s="136">
        <v>39.249752299999997</v>
      </c>
      <c r="E167" s="136">
        <v>-9.2896468000000105</v>
      </c>
      <c r="F167" s="137">
        <v>7219.5</v>
      </c>
      <c r="G167" s="138">
        <v>8028</v>
      </c>
      <c r="H167" s="138">
        <v>6411</v>
      </c>
      <c r="I167" s="463" t="s">
        <v>1669</v>
      </c>
      <c r="J167" s="463" t="s">
        <v>69</v>
      </c>
      <c r="K167" s="139" t="s">
        <v>1670</v>
      </c>
      <c r="L167" s="140" t="s">
        <v>69</v>
      </c>
      <c r="M167" s="141" t="s">
        <v>1671</v>
      </c>
      <c r="N167" s="134" t="s">
        <v>69</v>
      </c>
      <c r="O167" s="134" t="s">
        <v>69</v>
      </c>
      <c r="P167" s="134" t="s">
        <v>69</v>
      </c>
      <c r="Q167" s="134" t="s">
        <v>69</v>
      </c>
      <c r="R167" s="140"/>
      <c r="S167" s="135"/>
      <c r="T167" s="135"/>
      <c r="V167" s="149"/>
      <c r="Y167" s="134"/>
      <c r="Z167" s="134"/>
    </row>
    <row r="168" spans="1:26" s="141" customFormat="1" x14ac:dyDescent="0.2">
      <c r="A168" s="141" t="s">
        <v>1667</v>
      </c>
      <c r="B168" s="134" t="s">
        <v>1672</v>
      </c>
      <c r="C168" s="135" t="s">
        <v>149</v>
      </c>
      <c r="D168" s="136">
        <v>40.932148900000001</v>
      </c>
      <c r="E168" s="136">
        <v>-8.2450989999999802</v>
      </c>
      <c r="F168" s="137">
        <v>5853.5</v>
      </c>
      <c r="G168" s="138">
        <v>5992</v>
      </c>
      <c r="H168" s="138">
        <v>5715</v>
      </c>
      <c r="I168" s="463" t="s">
        <v>1311</v>
      </c>
      <c r="J168" s="463" t="s">
        <v>69</v>
      </c>
      <c r="K168" s="139" t="s">
        <v>1670</v>
      </c>
      <c r="L168" s="140" t="s">
        <v>69</v>
      </c>
      <c r="M168" s="141" t="s">
        <v>1673</v>
      </c>
      <c r="N168" s="134" t="s">
        <v>69</v>
      </c>
      <c r="O168" s="134" t="s">
        <v>69</v>
      </c>
      <c r="P168" s="134" t="s">
        <v>69</v>
      </c>
      <c r="Q168" s="134" t="s">
        <v>69</v>
      </c>
      <c r="R168" s="140"/>
      <c r="S168" s="135"/>
      <c r="T168" s="135"/>
      <c r="V168" s="149"/>
      <c r="Y168" s="134"/>
      <c r="Z168" s="134"/>
    </row>
    <row r="169" spans="1:26" s="141" customFormat="1" x14ac:dyDescent="0.2">
      <c r="A169" s="141" t="s">
        <v>1667</v>
      </c>
      <c r="B169" s="134" t="s">
        <v>1674</v>
      </c>
      <c r="C169" s="135" t="s">
        <v>149</v>
      </c>
      <c r="D169" s="136">
        <v>39.1102591</v>
      </c>
      <c r="E169" s="136">
        <v>-8.6930684999999794</v>
      </c>
      <c r="F169" s="137">
        <v>4889.5</v>
      </c>
      <c r="G169" s="138">
        <v>5064</v>
      </c>
      <c r="H169" s="138">
        <v>4715</v>
      </c>
      <c r="I169" s="463" t="s">
        <v>162</v>
      </c>
      <c r="J169" s="463" t="s">
        <v>69</v>
      </c>
      <c r="K169" s="139" t="s">
        <v>1670</v>
      </c>
      <c r="L169" s="140" t="s">
        <v>69</v>
      </c>
      <c r="M169" s="141" t="s">
        <v>1675</v>
      </c>
      <c r="N169" s="134" t="s">
        <v>69</v>
      </c>
      <c r="O169" s="134" t="s">
        <v>69</v>
      </c>
      <c r="P169" s="134" t="s">
        <v>69</v>
      </c>
      <c r="Q169" s="134" t="s">
        <v>69</v>
      </c>
      <c r="R169" s="140"/>
      <c r="S169" s="135"/>
      <c r="T169" s="135"/>
      <c r="V169" s="149"/>
      <c r="Y169" s="134"/>
      <c r="Z169" s="134"/>
    </row>
    <row r="170" spans="1:26" s="141" customFormat="1" x14ac:dyDescent="0.2">
      <c r="A170" s="141" t="s">
        <v>1676</v>
      </c>
      <c r="B170" s="134" t="s">
        <v>1677</v>
      </c>
      <c r="C170" s="135" t="s">
        <v>149</v>
      </c>
      <c r="D170" s="136">
        <v>39.1</v>
      </c>
      <c r="E170" s="136">
        <v>-8.6832999999999991</v>
      </c>
      <c r="F170" s="137">
        <v>6115</v>
      </c>
      <c r="G170" s="138">
        <v>6235</v>
      </c>
      <c r="H170" s="138">
        <v>5995</v>
      </c>
      <c r="I170" s="463" t="s">
        <v>12</v>
      </c>
      <c r="J170" s="463" t="s">
        <v>69</v>
      </c>
      <c r="K170" s="139" t="s">
        <v>1670</v>
      </c>
      <c r="L170" s="140" t="s">
        <v>69</v>
      </c>
      <c r="M170" s="141" t="s">
        <v>1678</v>
      </c>
      <c r="N170" s="134" t="s">
        <v>69</v>
      </c>
      <c r="O170" s="134" t="s">
        <v>69</v>
      </c>
      <c r="P170" s="134" t="s">
        <v>69</v>
      </c>
      <c r="Q170" s="134" t="s">
        <v>69</v>
      </c>
      <c r="R170" s="140"/>
      <c r="S170" s="135"/>
      <c r="T170" s="135"/>
      <c r="V170" s="149"/>
      <c r="Y170" s="134"/>
      <c r="Z170" s="134"/>
    </row>
    <row r="171" spans="1:26" s="141" customFormat="1" x14ac:dyDescent="0.2">
      <c r="A171" s="141" t="s">
        <v>698</v>
      </c>
      <c r="B171" s="134" t="s">
        <v>1679</v>
      </c>
      <c r="C171" s="135" t="s">
        <v>149</v>
      </c>
      <c r="D171" s="136">
        <v>39.1</v>
      </c>
      <c r="E171" s="136">
        <v>-8.6832999999999991</v>
      </c>
      <c r="F171" s="137">
        <f>(G171+H171)/2</f>
        <v>6114.5</v>
      </c>
      <c r="G171" s="138">
        <v>6235</v>
      </c>
      <c r="H171" s="138">
        <v>5994</v>
      </c>
      <c r="I171" s="463" t="s">
        <v>1680</v>
      </c>
      <c r="J171" s="463" t="s">
        <v>69</v>
      </c>
      <c r="K171" s="139" t="s">
        <v>1681</v>
      </c>
      <c r="L171" s="140"/>
      <c r="M171" s="141" t="s">
        <v>1682</v>
      </c>
      <c r="N171" s="134" t="s">
        <v>69</v>
      </c>
      <c r="O171" s="134" t="s">
        <v>69</v>
      </c>
      <c r="P171" s="134" t="s">
        <v>69</v>
      </c>
      <c r="Q171" s="134" t="s">
        <v>69</v>
      </c>
      <c r="R171" s="140"/>
      <c r="S171" s="135"/>
      <c r="T171" s="135"/>
      <c r="V171" s="149"/>
      <c r="Y171" s="134"/>
      <c r="Z171" s="134"/>
    </row>
    <row r="172" spans="1:26" s="141" customFormat="1" x14ac:dyDescent="0.2">
      <c r="A172" s="141" t="s">
        <v>1667</v>
      </c>
      <c r="B172" s="134" t="s">
        <v>1672</v>
      </c>
      <c r="C172" s="135" t="s">
        <v>149</v>
      </c>
      <c r="D172" s="136">
        <v>40.932148900000001</v>
      </c>
      <c r="E172" s="136">
        <v>-8.2450989999999802</v>
      </c>
      <c r="F172" s="137">
        <v>5853.5</v>
      </c>
      <c r="G172" s="138">
        <v>5992</v>
      </c>
      <c r="H172" s="138">
        <v>5715</v>
      </c>
      <c r="I172" s="463" t="s">
        <v>1683</v>
      </c>
      <c r="J172" s="463" t="s">
        <v>69</v>
      </c>
      <c r="K172" s="139" t="s">
        <v>1670</v>
      </c>
      <c r="L172" s="140" t="s">
        <v>69</v>
      </c>
      <c r="M172" s="141" t="s">
        <v>1684</v>
      </c>
      <c r="N172" s="134" t="s">
        <v>69</v>
      </c>
      <c r="O172" s="134" t="s">
        <v>69</v>
      </c>
      <c r="P172" s="134" t="s">
        <v>69</v>
      </c>
      <c r="Q172" s="134" t="s">
        <v>69</v>
      </c>
      <c r="R172" s="140"/>
      <c r="S172" s="135"/>
      <c r="T172" s="135"/>
      <c r="V172" s="149"/>
      <c r="Y172" s="134"/>
      <c r="Z172" s="134"/>
    </row>
    <row r="173" spans="1:26" s="141" customFormat="1" ht="13.15" customHeight="1" x14ac:dyDescent="0.2">
      <c r="A173" s="141" t="s">
        <v>545</v>
      </c>
      <c r="B173" s="134" t="s">
        <v>1685</v>
      </c>
      <c r="C173" s="135" t="s">
        <v>844</v>
      </c>
      <c r="D173" s="136">
        <v>44.517000000000003</v>
      </c>
      <c r="E173" s="136">
        <v>22.722000000000001</v>
      </c>
      <c r="F173" s="137">
        <f t="shared" ref="F173:F179" si="6">(G173+H173)/2</f>
        <v>7385</v>
      </c>
      <c r="G173" s="138">
        <v>7580</v>
      </c>
      <c r="H173" s="138">
        <v>7190</v>
      </c>
      <c r="I173" s="463" t="s">
        <v>1686</v>
      </c>
      <c r="J173" s="463" t="s">
        <v>1551</v>
      </c>
      <c r="K173" s="139" t="s">
        <v>1687</v>
      </c>
      <c r="L173" s="140" t="s">
        <v>14</v>
      </c>
      <c r="M173" s="141" t="s">
        <v>1688</v>
      </c>
      <c r="N173" s="134" t="s">
        <v>1689</v>
      </c>
      <c r="O173" s="134" t="s">
        <v>69</v>
      </c>
      <c r="P173" s="134" t="s">
        <v>69</v>
      </c>
      <c r="Q173" s="134" t="s">
        <v>69</v>
      </c>
      <c r="R173" s="140"/>
      <c r="S173" s="135"/>
      <c r="T173" s="135"/>
      <c r="V173" s="149"/>
      <c r="Y173" s="134"/>
      <c r="Z173" s="134"/>
    </row>
    <row r="174" spans="1:26" s="141" customFormat="1" x14ac:dyDescent="0.2">
      <c r="A174" s="141" t="s">
        <v>1695</v>
      </c>
      <c r="B174" s="134" t="s">
        <v>1685</v>
      </c>
      <c r="C174" s="135" t="s">
        <v>844</v>
      </c>
      <c r="D174" s="136">
        <v>44.517000000000003</v>
      </c>
      <c r="E174" s="136">
        <v>22.722000000000001</v>
      </c>
      <c r="F174" s="137">
        <f>(G174+H174)/2</f>
        <v>6754</v>
      </c>
      <c r="G174" s="138">
        <v>7023</v>
      </c>
      <c r="H174" s="138">
        <v>6485</v>
      </c>
      <c r="I174" s="466" t="s">
        <v>4316</v>
      </c>
      <c r="J174" s="463" t="s">
        <v>705</v>
      </c>
      <c r="K174" s="139" t="s">
        <v>1696</v>
      </c>
      <c r="L174" s="140" t="s">
        <v>14</v>
      </c>
      <c r="M174" s="141" t="s">
        <v>1697</v>
      </c>
      <c r="N174" s="134" t="s">
        <v>69</v>
      </c>
      <c r="O174" s="134" t="s">
        <v>69</v>
      </c>
      <c r="P174" s="134" t="s">
        <v>69</v>
      </c>
      <c r="Q174" s="134" t="s">
        <v>69</v>
      </c>
      <c r="R174" s="477" t="s">
        <v>4317</v>
      </c>
      <c r="S174" s="135"/>
      <c r="T174" s="135"/>
      <c r="V174" s="149"/>
      <c r="Y174" s="134"/>
      <c r="Z174" s="134"/>
    </row>
    <row r="175" spans="1:26" s="141" customFormat="1" ht="13.15" customHeight="1" x14ac:dyDescent="0.2">
      <c r="A175" s="141" t="s">
        <v>545</v>
      </c>
      <c r="B175" s="134" t="s">
        <v>1685</v>
      </c>
      <c r="C175" s="135" t="s">
        <v>844</v>
      </c>
      <c r="D175" s="136">
        <v>44.517000000000003</v>
      </c>
      <c r="E175" s="136">
        <v>22.722000000000001</v>
      </c>
      <c r="F175" s="137">
        <f t="shared" si="6"/>
        <v>6747</v>
      </c>
      <c r="G175" s="138">
        <v>7021</v>
      </c>
      <c r="H175" s="138">
        <v>6473</v>
      </c>
      <c r="I175" s="466" t="s">
        <v>4316</v>
      </c>
      <c r="J175" s="463" t="s">
        <v>69</v>
      </c>
      <c r="K175" s="139" t="s">
        <v>1687</v>
      </c>
      <c r="L175" s="140" t="s">
        <v>2</v>
      </c>
      <c r="M175" s="141" t="s">
        <v>1690</v>
      </c>
      <c r="N175" s="134" t="s">
        <v>1691</v>
      </c>
      <c r="O175" s="134" t="s">
        <v>69</v>
      </c>
      <c r="P175" s="134" t="s">
        <v>69</v>
      </c>
      <c r="Q175" s="134" t="s">
        <v>69</v>
      </c>
      <c r="R175" s="477" t="s">
        <v>4317</v>
      </c>
      <c r="S175" s="135"/>
      <c r="T175" s="135"/>
      <c r="V175" s="149"/>
      <c r="Y175" s="134"/>
      <c r="Z175" s="134"/>
    </row>
    <row r="176" spans="1:26" s="141" customFormat="1" ht="13.15" customHeight="1" x14ac:dyDescent="0.2">
      <c r="A176" s="141" t="s">
        <v>545</v>
      </c>
      <c r="B176" s="134" t="s">
        <v>1692</v>
      </c>
      <c r="C176" s="135" t="s">
        <v>844</v>
      </c>
      <c r="D176" s="136">
        <v>44.627000000000002</v>
      </c>
      <c r="E176" s="136">
        <v>22.606999999999999</v>
      </c>
      <c r="F176" s="137">
        <f t="shared" si="6"/>
        <v>6815</v>
      </c>
      <c r="G176" s="138">
        <v>7060</v>
      </c>
      <c r="H176" s="138">
        <v>6570</v>
      </c>
      <c r="I176" s="466" t="s">
        <v>4316</v>
      </c>
      <c r="J176" s="463" t="s">
        <v>1314</v>
      </c>
      <c r="K176" s="139" t="s">
        <v>1687</v>
      </c>
      <c r="L176" s="140" t="s">
        <v>14</v>
      </c>
      <c r="M176" s="141" t="s">
        <v>1693</v>
      </c>
      <c r="N176" s="134" t="s">
        <v>1694</v>
      </c>
      <c r="O176" s="134" t="s">
        <v>69</v>
      </c>
      <c r="P176" s="134" t="s">
        <v>69</v>
      </c>
      <c r="Q176" s="134" t="s">
        <v>69</v>
      </c>
      <c r="R176" s="477" t="s">
        <v>4317</v>
      </c>
      <c r="S176" s="135"/>
      <c r="T176" s="135"/>
      <c r="V176" s="149"/>
      <c r="Y176" s="134"/>
      <c r="Z176" s="134"/>
    </row>
    <row r="177" spans="1:26" s="141" customFormat="1" x14ac:dyDescent="0.2">
      <c r="A177" s="141" t="s">
        <v>545</v>
      </c>
      <c r="B177" s="134" t="s">
        <v>1685</v>
      </c>
      <c r="C177" s="135" t="s">
        <v>844</v>
      </c>
      <c r="D177" s="136">
        <v>44.517000000000003</v>
      </c>
      <c r="E177" s="136">
        <v>22.722000000000001</v>
      </c>
      <c r="F177" s="137">
        <f t="shared" si="6"/>
        <v>5500</v>
      </c>
      <c r="G177" s="138">
        <v>6000</v>
      </c>
      <c r="H177" s="138">
        <v>5000</v>
      </c>
      <c r="I177" s="466" t="s">
        <v>4320</v>
      </c>
      <c r="J177" s="463" t="s">
        <v>1698</v>
      </c>
      <c r="K177" s="139" t="s">
        <v>1687</v>
      </c>
      <c r="L177" s="140" t="s">
        <v>14</v>
      </c>
      <c r="M177" s="141" t="s">
        <v>1699</v>
      </c>
      <c r="N177" s="134" t="s">
        <v>1700</v>
      </c>
      <c r="O177" s="134" t="s">
        <v>69</v>
      </c>
      <c r="P177" s="134" t="s">
        <v>69</v>
      </c>
      <c r="Q177" s="134" t="s">
        <v>69</v>
      </c>
      <c r="R177" s="477" t="s">
        <v>4350</v>
      </c>
      <c r="S177" s="135"/>
      <c r="T177" s="135"/>
      <c r="V177" s="149"/>
      <c r="Y177" s="134"/>
      <c r="Z177" s="134"/>
    </row>
    <row r="178" spans="1:26" s="141" customFormat="1" x14ac:dyDescent="0.2">
      <c r="A178" s="141" t="s">
        <v>1267</v>
      </c>
      <c r="B178" s="134" t="s">
        <v>1701</v>
      </c>
      <c r="C178" s="135" t="s">
        <v>844</v>
      </c>
      <c r="D178" s="136">
        <v>45.12</v>
      </c>
      <c r="E178" s="136">
        <v>21.9</v>
      </c>
      <c r="F178" s="137">
        <f t="shared" si="6"/>
        <v>37660</v>
      </c>
      <c r="G178" s="138">
        <v>39690</v>
      </c>
      <c r="H178" s="138">
        <v>35630</v>
      </c>
      <c r="I178" s="463" t="s">
        <v>170</v>
      </c>
      <c r="J178" s="463" t="s">
        <v>2</v>
      </c>
      <c r="K178" s="139" t="s">
        <v>1702</v>
      </c>
      <c r="L178" s="140" t="s">
        <v>14</v>
      </c>
      <c r="M178" s="141" t="s">
        <v>1703</v>
      </c>
      <c r="N178" s="134" t="s">
        <v>69</v>
      </c>
      <c r="O178" s="134" t="s">
        <v>69</v>
      </c>
      <c r="P178" s="134" t="s">
        <v>69</v>
      </c>
      <c r="Q178" s="134" t="s">
        <v>69</v>
      </c>
      <c r="R178" s="140"/>
      <c r="S178" s="135"/>
      <c r="T178" s="135"/>
      <c r="V178" s="149"/>
      <c r="Y178" s="134"/>
      <c r="Z178" s="134"/>
    </row>
    <row r="179" spans="1:26" s="141" customFormat="1" x14ac:dyDescent="0.2">
      <c r="A179" s="141" t="s">
        <v>1267</v>
      </c>
      <c r="B179" s="134" t="s">
        <v>1704</v>
      </c>
      <c r="C179" s="135" t="s">
        <v>844</v>
      </c>
      <c r="D179" s="136">
        <v>45.585489600000002</v>
      </c>
      <c r="E179" s="136">
        <v>23.1435794</v>
      </c>
      <c r="F179" s="137">
        <f t="shared" si="6"/>
        <v>30485</v>
      </c>
      <c r="G179" s="138">
        <v>31140</v>
      </c>
      <c r="H179" s="138">
        <v>29830</v>
      </c>
      <c r="I179" s="463" t="s">
        <v>8</v>
      </c>
      <c r="J179" s="463" t="s">
        <v>863</v>
      </c>
      <c r="K179" s="139" t="s">
        <v>1702</v>
      </c>
      <c r="L179" s="140" t="s">
        <v>14</v>
      </c>
      <c r="M179" s="141" t="s">
        <v>1705</v>
      </c>
      <c r="N179" s="134" t="s">
        <v>69</v>
      </c>
      <c r="O179" s="134" t="s">
        <v>69</v>
      </c>
      <c r="P179" s="134" t="s">
        <v>69</v>
      </c>
      <c r="Q179" s="134" t="s">
        <v>69</v>
      </c>
      <c r="R179" s="140"/>
      <c r="S179" s="135"/>
      <c r="T179" s="135"/>
      <c r="V179" s="149"/>
      <c r="Y179" s="134"/>
      <c r="Z179" s="134"/>
    </row>
    <row r="180" spans="1:26" s="141" customFormat="1" x14ac:dyDescent="0.2">
      <c r="A180" s="141" t="s">
        <v>1695</v>
      </c>
      <c r="B180" s="134" t="s">
        <v>1692</v>
      </c>
      <c r="C180" s="135" t="s">
        <v>844</v>
      </c>
      <c r="D180" s="136">
        <v>44.625999999999998</v>
      </c>
      <c r="E180" s="136">
        <v>22.606999999999999</v>
      </c>
      <c r="F180" s="137" t="s">
        <v>69</v>
      </c>
      <c r="G180" s="138" t="s">
        <v>69</v>
      </c>
      <c r="H180" s="138" t="s">
        <v>69</v>
      </c>
      <c r="I180" s="463" t="s">
        <v>617</v>
      </c>
      <c r="J180" s="463" t="s">
        <v>1706</v>
      </c>
      <c r="K180" s="139" t="s">
        <v>1696</v>
      </c>
      <c r="L180" s="140" t="s">
        <v>14</v>
      </c>
      <c r="M180" s="141" t="s">
        <v>1707</v>
      </c>
      <c r="N180" s="134" t="s">
        <v>69</v>
      </c>
      <c r="O180" s="134" t="s">
        <v>69</v>
      </c>
      <c r="P180" s="134" t="s">
        <v>69</v>
      </c>
      <c r="Q180" s="134" t="s">
        <v>69</v>
      </c>
      <c r="R180" s="140"/>
      <c r="S180" s="135"/>
      <c r="T180" s="135"/>
      <c r="V180" s="149"/>
      <c r="Y180" s="134"/>
      <c r="Z180" s="134"/>
    </row>
    <row r="181" spans="1:26" s="141" customFormat="1" x14ac:dyDescent="0.2">
      <c r="A181" s="141" t="s">
        <v>545</v>
      </c>
      <c r="B181" s="134" t="s">
        <v>1692</v>
      </c>
      <c r="C181" s="135" t="s">
        <v>844</v>
      </c>
      <c r="D181" s="136">
        <v>44.629711</v>
      </c>
      <c r="E181" s="136">
        <v>22.612556099999999</v>
      </c>
      <c r="F181" s="137">
        <f t="shared" ref="F181:F185" si="7">(G181+H181)/2</f>
        <v>6650</v>
      </c>
      <c r="G181" s="138">
        <v>7000</v>
      </c>
      <c r="H181" s="138">
        <v>6300</v>
      </c>
      <c r="I181" s="463" t="s">
        <v>1708</v>
      </c>
      <c r="J181" s="463" t="s">
        <v>1698</v>
      </c>
      <c r="K181" s="139" t="s">
        <v>1687</v>
      </c>
      <c r="L181" s="140" t="s">
        <v>14</v>
      </c>
      <c r="M181" s="141" t="s">
        <v>1709</v>
      </c>
      <c r="N181" s="134" t="s">
        <v>1710</v>
      </c>
      <c r="O181" s="134" t="s">
        <v>69</v>
      </c>
      <c r="P181" s="134" t="s">
        <v>69</v>
      </c>
      <c r="Q181" s="134" t="s">
        <v>69</v>
      </c>
      <c r="R181" s="140"/>
      <c r="S181" s="135"/>
      <c r="T181" s="135"/>
      <c r="V181" s="149"/>
      <c r="Y181" s="134"/>
      <c r="Z181" s="134"/>
    </row>
    <row r="182" spans="1:26" s="141" customFormat="1" x14ac:dyDescent="0.2">
      <c r="A182" s="141" t="s">
        <v>545</v>
      </c>
      <c r="B182" s="134" t="s">
        <v>1692</v>
      </c>
      <c r="C182" s="135" t="s">
        <v>844</v>
      </c>
      <c r="D182" s="136">
        <v>44.627000000000002</v>
      </c>
      <c r="E182" s="136">
        <v>22.606999999999999</v>
      </c>
      <c r="F182" s="137">
        <f t="shared" si="7"/>
        <v>6990</v>
      </c>
      <c r="G182" s="138">
        <v>7340</v>
      </c>
      <c r="H182" s="138">
        <v>6640</v>
      </c>
      <c r="I182" s="463" t="s">
        <v>622</v>
      </c>
      <c r="J182" s="463" t="s">
        <v>1063</v>
      </c>
      <c r="K182" s="139" t="s">
        <v>1687</v>
      </c>
      <c r="L182" s="140" t="s">
        <v>14</v>
      </c>
      <c r="M182" s="141" t="s">
        <v>1711</v>
      </c>
      <c r="N182" s="134" t="s">
        <v>1712</v>
      </c>
      <c r="O182" s="134" t="s">
        <v>69</v>
      </c>
      <c r="P182" s="134" t="s">
        <v>69</v>
      </c>
      <c r="Q182" s="134" t="s">
        <v>69</v>
      </c>
      <c r="R182" s="140"/>
      <c r="S182" s="135"/>
      <c r="T182" s="135"/>
      <c r="V182" s="149"/>
      <c r="Y182" s="134"/>
      <c r="Z182" s="134"/>
    </row>
    <row r="183" spans="1:26" s="141" customFormat="1" x14ac:dyDescent="0.2">
      <c r="A183" s="141" t="s">
        <v>545</v>
      </c>
      <c r="B183" s="134" t="s">
        <v>1692</v>
      </c>
      <c r="C183" s="135" t="s">
        <v>844</v>
      </c>
      <c r="D183" s="136">
        <v>44.629711</v>
      </c>
      <c r="E183" s="136">
        <v>22.612556099999999</v>
      </c>
      <c r="F183" s="137">
        <f t="shared" si="7"/>
        <v>7074.5</v>
      </c>
      <c r="G183" s="138">
        <v>7451</v>
      </c>
      <c r="H183" s="138">
        <v>6698</v>
      </c>
      <c r="I183" s="463" t="s">
        <v>622</v>
      </c>
      <c r="J183" s="463" t="s">
        <v>69</v>
      </c>
      <c r="K183" s="139" t="s">
        <v>1687</v>
      </c>
      <c r="L183" s="140" t="s">
        <v>2</v>
      </c>
      <c r="M183" s="141" t="s">
        <v>1713</v>
      </c>
      <c r="N183" s="134" t="s">
        <v>1714</v>
      </c>
      <c r="O183" s="134" t="s">
        <v>69</v>
      </c>
      <c r="P183" s="134" t="s">
        <v>69</v>
      </c>
      <c r="Q183" s="134" t="s">
        <v>69</v>
      </c>
      <c r="R183" s="140"/>
      <c r="S183" s="135"/>
      <c r="T183" s="135"/>
      <c r="V183" s="149"/>
      <c r="Y183" s="134"/>
      <c r="Z183" s="134"/>
    </row>
    <row r="184" spans="1:26" s="141" customFormat="1" x14ac:dyDescent="0.2">
      <c r="A184" s="141" t="s">
        <v>1695</v>
      </c>
      <c r="B184" s="134" t="s">
        <v>1692</v>
      </c>
      <c r="C184" s="135" t="s">
        <v>844</v>
      </c>
      <c r="D184" s="136">
        <v>44.625999999999998</v>
      </c>
      <c r="E184" s="136">
        <v>22.606999999999999</v>
      </c>
      <c r="F184" s="137">
        <f t="shared" si="7"/>
        <v>6864</v>
      </c>
      <c r="G184" s="138">
        <f>8814+261-1950</f>
        <v>7125</v>
      </c>
      <c r="H184" s="138">
        <f>8814-261-1950</f>
        <v>6603</v>
      </c>
      <c r="I184" s="463" t="s">
        <v>1223</v>
      </c>
      <c r="J184" s="463" t="s">
        <v>1314</v>
      </c>
      <c r="K184" s="139" t="s">
        <v>1696</v>
      </c>
      <c r="L184" s="140" t="s">
        <v>14</v>
      </c>
      <c r="M184" s="141" t="s">
        <v>1715</v>
      </c>
      <c r="N184" s="134" t="s">
        <v>69</v>
      </c>
      <c r="O184" s="134" t="s">
        <v>69</v>
      </c>
      <c r="P184" s="134" t="s">
        <v>69</v>
      </c>
      <c r="Q184" s="134" t="s">
        <v>69</v>
      </c>
      <c r="R184" s="140"/>
      <c r="S184" s="135"/>
      <c r="T184" s="135"/>
      <c r="V184" s="149"/>
      <c r="Y184" s="134"/>
      <c r="Z184" s="134"/>
    </row>
    <row r="185" spans="1:26" s="141" customFormat="1" x14ac:dyDescent="0.2">
      <c r="A185" s="141" t="s">
        <v>1267</v>
      </c>
      <c r="B185" s="134" t="s">
        <v>1716</v>
      </c>
      <c r="C185" s="135" t="s">
        <v>844</v>
      </c>
      <c r="D185" s="136">
        <v>45.192135399999998</v>
      </c>
      <c r="E185" s="136">
        <v>23.753685999999998</v>
      </c>
      <c r="F185" s="137">
        <f t="shared" si="7"/>
        <v>31350</v>
      </c>
      <c r="G185" s="138">
        <v>31810</v>
      </c>
      <c r="H185" s="138">
        <v>30890</v>
      </c>
      <c r="I185" s="463" t="s">
        <v>1410</v>
      </c>
      <c r="J185" s="463" t="s">
        <v>69</v>
      </c>
      <c r="K185" s="139" t="s">
        <v>1702</v>
      </c>
      <c r="L185" s="140" t="s">
        <v>2</v>
      </c>
      <c r="M185" s="141" t="s">
        <v>1717</v>
      </c>
      <c r="N185" s="134" t="s">
        <v>69</v>
      </c>
      <c r="O185" s="134" t="s">
        <v>69</v>
      </c>
      <c r="P185" s="134" t="s">
        <v>69</v>
      </c>
      <c r="Q185" s="134" t="s">
        <v>69</v>
      </c>
      <c r="R185" s="140"/>
      <c r="S185" s="135"/>
      <c r="T185" s="135"/>
      <c r="V185" s="149"/>
      <c r="Y185" s="134"/>
      <c r="Z185" s="134"/>
    </row>
    <row r="186" spans="1:26" s="141" customFormat="1" x14ac:dyDescent="0.2">
      <c r="A186" s="141" t="s">
        <v>2504</v>
      </c>
      <c r="B186" s="134" t="s">
        <v>1692</v>
      </c>
      <c r="C186" s="135" t="s">
        <v>844</v>
      </c>
      <c r="D186" s="171">
        <v>44.634999999999998</v>
      </c>
      <c r="E186" s="171">
        <v>22.66</v>
      </c>
      <c r="F186" s="168">
        <v>6708.5</v>
      </c>
      <c r="G186" s="167">
        <v>6905</v>
      </c>
      <c r="H186" s="167">
        <v>6512</v>
      </c>
      <c r="I186" s="467" t="s">
        <v>1347</v>
      </c>
      <c r="J186" s="467" t="s">
        <v>705</v>
      </c>
      <c r="K186" s="139"/>
      <c r="L186" s="140"/>
      <c r="N186" s="134"/>
      <c r="O186" s="134"/>
      <c r="P186" s="134"/>
      <c r="Q186" s="134"/>
      <c r="R186" s="140"/>
      <c r="S186" s="135"/>
      <c r="T186" s="135"/>
      <c r="V186" s="149"/>
      <c r="Y186" s="134"/>
      <c r="Z186" s="134"/>
    </row>
    <row r="187" spans="1:26" s="141" customFormat="1" x14ac:dyDescent="0.2">
      <c r="A187" s="141" t="s">
        <v>2504</v>
      </c>
      <c r="B187" s="134" t="s">
        <v>1692</v>
      </c>
      <c r="C187" s="135" t="s">
        <v>844</v>
      </c>
      <c r="D187" s="171">
        <v>44.634999999999998</v>
      </c>
      <c r="E187" s="171">
        <v>22.66</v>
      </c>
      <c r="F187" s="168">
        <v>6864</v>
      </c>
      <c r="G187" s="167">
        <v>7037</v>
      </c>
      <c r="H187" s="167">
        <v>6691</v>
      </c>
      <c r="I187" s="468" t="s">
        <v>4591</v>
      </c>
      <c r="J187" s="463" t="s">
        <v>69</v>
      </c>
      <c r="K187" s="139"/>
      <c r="L187" s="140"/>
      <c r="N187" s="134"/>
      <c r="O187" s="134"/>
      <c r="P187" s="134"/>
      <c r="Q187" s="134"/>
      <c r="R187" s="140"/>
      <c r="S187" s="135"/>
      <c r="T187" s="135"/>
      <c r="V187" s="149"/>
      <c r="Y187" s="134"/>
      <c r="Z187" s="134"/>
    </row>
    <row r="188" spans="1:26" s="152" customFormat="1" x14ac:dyDescent="0.2">
      <c r="A188" s="152" t="s">
        <v>1950</v>
      </c>
      <c r="B188" s="139" t="s">
        <v>1951</v>
      </c>
      <c r="C188" s="153" t="s">
        <v>164</v>
      </c>
      <c r="D188" s="151">
        <v>43.288888999999998</v>
      </c>
      <c r="E188" s="151">
        <v>-3.9655559999999999</v>
      </c>
      <c r="F188" s="137">
        <v>10000</v>
      </c>
      <c r="G188" s="137">
        <v>10050</v>
      </c>
      <c r="H188" s="137">
        <v>9950</v>
      </c>
      <c r="I188" s="470" t="s">
        <v>18</v>
      </c>
      <c r="J188" s="470" t="s">
        <v>69</v>
      </c>
      <c r="K188" s="139" t="s">
        <v>1952</v>
      </c>
      <c r="L188" s="154" t="s">
        <v>69</v>
      </c>
      <c r="M188" s="152" t="s">
        <v>1953</v>
      </c>
      <c r="N188" s="139" t="s">
        <v>69</v>
      </c>
      <c r="O188" s="139" t="s">
        <v>69</v>
      </c>
      <c r="P188" s="139" t="s">
        <v>69</v>
      </c>
      <c r="Q188" s="139" t="s">
        <v>69</v>
      </c>
      <c r="R188" s="154"/>
      <c r="S188" s="153"/>
      <c r="T188" s="153"/>
      <c r="V188" s="155"/>
      <c r="Y188" s="139"/>
      <c r="Z188" s="139"/>
    </row>
    <row r="189" spans="1:26" s="141" customFormat="1" x14ac:dyDescent="0.2">
      <c r="A189" s="141" t="s">
        <v>1950</v>
      </c>
      <c r="B189" s="134" t="s">
        <v>1954</v>
      </c>
      <c r="C189" s="135" t="s">
        <v>164</v>
      </c>
      <c r="D189" s="136">
        <v>43.345278</v>
      </c>
      <c r="E189" s="136">
        <v>-3.4950000000000001</v>
      </c>
      <c r="F189" s="137">
        <v>10000</v>
      </c>
      <c r="G189" s="138">
        <v>10050</v>
      </c>
      <c r="H189" s="138">
        <v>9950</v>
      </c>
      <c r="I189" s="463" t="s">
        <v>1955</v>
      </c>
      <c r="J189" s="463" t="s">
        <v>69</v>
      </c>
      <c r="K189" s="139" t="s">
        <v>1952</v>
      </c>
      <c r="L189" s="140" t="s">
        <v>69</v>
      </c>
      <c r="M189" s="141" t="s">
        <v>1956</v>
      </c>
      <c r="N189" s="134" t="s">
        <v>69</v>
      </c>
      <c r="O189" s="134" t="s">
        <v>69</v>
      </c>
      <c r="P189" s="134" t="s">
        <v>69</v>
      </c>
      <c r="Q189" s="134" t="s">
        <v>69</v>
      </c>
      <c r="R189" s="140"/>
      <c r="S189" s="135"/>
      <c r="T189" s="135"/>
      <c r="V189" s="149"/>
      <c r="Y189" s="134"/>
      <c r="Z189" s="134"/>
    </row>
    <row r="190" spans="1:26" s="141" customFormat="1" x14ac:dyDescent="0.2">
      <c r="A190" s="141" t="s">
        <v>698</v>
      </c>
      <c r="B190" s="134" t="s">
        <v>2287</v>
      </c>
      <c r="C190" s="135" t="s">
        <v>164</v>
      </c>
      <c r="D190" s="136">
        <v>41.991199999999999</v>
      </c>
      <c r="E190" s="136">
        <v>1.6395</v>
      </c>
      <c r="F190" s="137">
        <f>(G190+H190)/2</f>
        <v>9972</v>
      </c>
      <c r="G190" s="138">
        <v>10681</v>
      </c>
      <c r="H190" s="138">
        <v>9263</v>
      </c>
      <c r="I190" s="463" t="s">
        <v>1526</v>
      </c>
      <c r="J190" s="463" t="s">
        <v>1957</v>
      </c>
      <c r="K190" s="139" t="s">
        <v>1958</v>
      </c>
      <c r="L190" s="140"/>
      <c r="M190" s="141" t="s">
        <v>1959</v>
      </c>
      <c r="N190" s="134" t="s">
        <v>69</v>
      </c>
      <c r="O190" s="134" t="s">
        <v>69</v>
      </c>
      <c r="P190" s="134" t="s">
        <v>69</v>
      </c>
      <c r="Q190" s="134" t="s">
        <v>69</v>
      </c>
      <c r="R190" s="140"/>
      <c r="S190" s="135"/>
      <c r="T190" s="135"/>
      <c r="V190" s="149"/>
      <c r="Y190" s="134"/>
      <c r="Z190" s="134"/>
    </row>
    <row r="191" spans="1:26" s="141" customFormat="1" x14ac:dyDescent="0.2">
      <c r="A191" s="141" t="s">
        <v>1950</v>
      </c>
      <c r="B191" s="134" t="s">
        <v>1960</v>
      </c>
      <c r="C191" s="135" t="s">
        <v>164</v>
      </c>
      <c r="D191" s="136">
        <v>43.240792900000002</v>
      </c>
      <c r="E191" s="136">
        <v>-2.25934659999995</v>
      </c>
      <c r="F191" s="137">
        <v>10360</v>
      </c>
      <c r="G191" s="138">
        <v>12360</v>
      </c>
      <c r="H191" s="138">
        <v>12260</v>
      </c>
      <c r="I191" s="463" t="s">
        <v>9</v>
      </c>
      <c r="J191" s="463" t="s">
        <v>69</v>
      </c>
      <c r="K191" s="139" t="s">
        <v>1952</v>
      </c>
      <c r="L191" s="140" t="s">
        <v>69</v>
      </c>
      <c r="M191" s="141" t="s">
        <v>1961</v>
      </c>
      <c r="N191" s="134" t="s">
        <v>69</v>
      </c>
      <c r="O191" s="134" t="s">
        <v>69</v>
      </c>
      <c r="P191" s="134" t="s">
        <v>69</v>
      </c>
      <c r="Q191" s="134" t="s">
        <v>69</v>
      </c>
      <c r="R191" s="140"/>
      <c r="S191" s="135"/>
      <c r="T191" s="135"/>
      <c r="V191" s="149"/>
      <c r="Y191" s="134"/>
      <c r="Z191" s="134"/>
    </row>
    <row r="192" spans="1:26" s="141" customFormat="1" x14ac:dyDescent="0.2">
      <c r="A192" s="141" t="s">
        <v>1962</v>
      </c>
      <c r="B192" s="134" t="s">
        <v>1963</v>
      </c>
      <c r="C192" s="135" t="s">
        <v>164</v>
      </c>
      <c r="D192" s="136">
        <v>40.418195660000002</v>
      </c>
      <c r="E192" s="136">
        <v>-0.11675000000000001</v>
      </c>
      <c r="F192" s="137">
        <v>5000</v>
      </c>
      <c r="G192" s="138">
        <v>5050</v>
      </c>
      <c r="H192" s="138">
        <v>4950</v>
      </c>
      <c r="I192" s="463" t="s">
        <v>9</v>
      </c>
      <c r="J192" s="463" t="s">
        <v>69</v>
      </c>
      <c r="K192" s="139" t="s">
        <v>1670</v>
      </c>
      <c r="L192" s="140" t="s">
        <v>69</v>
      </c>
      <c r="M192" s="141" t="s">
        <v>1964</v>
      </c>
      <c r="N192" s="134" t="s">
        <v>69</v>
      </c>
      <c r="O192" s="134" t="s">
        <v>69</v>
      </c>
      <c r="P192" s="134" t="s">
        <v>69</v>
      </c>
      <c r="Q192" s="134" t="s">
        <v>69</v>
      </c>
      <c r="R192" s="140"/>
      <c r="S192" s="135"/>
      <c r="T192" s="135"/>
      <c r="V192" s="149"/>
      <c r="Y192" s="134"/>
      <c r="Z192" s="134"/>
    </row>
    <row r="193" spans="1:153" s="141" customFormat="1" x14ac:dyDescent="0.2">
      <c r="A193" s="141" t="s">
        <v>1962</v>
      </c>
      <c r="B193" s="134" t="s">
        <v>1963</v>
      </c>
      <c r="C193" s="135" t="s">
        <v>164</v>
      </c>
      <c r="D193" s="136">
        <v>40.418195660000002</v>
      </c>
      <c r="E193" s="136">
        <v>-0.11675000000000001</v>
      </c>
      <c r="F193" s="137">
        <v>5000</v>
      </c>
      <c r="G193" s="138">
        <v>5050</v>
      </c>
      <c r="H193" s="138">
        <v>4950</v>
      </c>
      <c r="I193" s="463" t="s">
        <v>9</v>
      </c>
      <c r="J193" s="463" t="s">
        <v>69</v>
      </c>
      <c r="K193" s="139" t="s">
        <v>1670</v>
      </c>
      <c r="L193" s="140" t="s">
        <v>69</v>
      </c>
      <c r="M193" s="141" t="s">
        <v>1965</v>
      </c>
      <c r="N193" s="134" t="s">
        <v>69</v>
      </c>
      <c r="O193" s="134" t="s">
        <v>69</v>
      </c>
      <c r="P193" s="134" t="s">
        <v>69</v>
      </c>
      <c r="Q193" s="134" t="s">
        <v>69</v>
      </c>
      <c r="R193" s="140"/>
      <c r="S193" s="135"/>
      <c r="T193" s="135"/>
      <c r="V193" s="149"/>
      <c r="Y193" s="134"/>
      <c r="Z193" s="134"/>
    </row>
    <row r="194" spans="1:153" s="141" customFormat="1" x14ac:dyDescent="0.2">
      <c r="A194" s="141" t="s">
        <v>1695</v>
      </c>
      <c r="B194" s="134" t="s">
        <v>1966</v>
      </c>
      <c r="C194" s="135" t="s">
        <v>164</v>
      </c>
      <c r="D194" s="136">
        <v>43.354999999999997</v>
      </c>
      <c r="E194" s="136">
        <v>-4.7169999999999996</v>
      </c>
      <c r="F194" s="137">
        <f>(G194+H194)/2</f>
        <v>5165</v>
      </c>
      <c r="G194" s="138">
        <f>7115+130-1950</f>
        <v>5295</v>
      </c>
      <c r="H194" s="138">
        <f>7115-130-1950</f>
        <v>5035</v>
      </c>
      <c r="I194" s="463" t="s">
        <v>1912</v>
      </c>
      <c r="J194" s="463" t="s">
        <v>468</v>
      </c>
      <c r="K194" s="139" t="s">
        <v>1967</v>
      </c>
      <c r="L194" s="140" t="s">
        <v>2</v>
      </c>
      <c r="M194" s="141" t="s">
        <v>1968</v>
      </c>
      <c r="N194" s="134" t="s">
        <v>2283</v>
      </c>
      <c r="O194" s="134" t="s">
        <v>2284</v>
      </c>
      <c r="P194" s="134" t="s">
        <v>69</v>
      </c>
      <c r="Q194" s="134" t="s">
        <v>69</v>
      </c>
      <c r="R194" s="140"/>
      <c r="S194" s="135"/>
      <c r="T194" s="135"/>
      <c r="V194" s="149"/>
      <c r="Y194" s="134"/>
      <c r="Z194" s="134"/>
    </row>
    <row r="195" spans="1:153" s="141" customFormat="1" x14ac:dyDescent="0.2">
      <c r="A195" s="141" t="s">
        <v>1267</v>
      </c>
      <c r="B195" s="134" t="s">
        <v>1969</v>
      </c>
      <c r="C195" s="135" t="s">
        <v>164</v>
      </c>
      <c r="D195" s="136">
        <v>43.26</v>
      </c>
      <c r="E195" s="136">
        <v>-3.45</v>
      </c>
      <c r="F195" s="137">
        <f>(G195+H195)/2</f>
        <v>16770</v>
      </c>
      <c r="G195" s="138">
        <v>16880</v>
      </c>
      <c r="H195" s="138">
        <v>16660</v>
      </c>
      <c r="I195" s="463" t="s">
        <v>12</v>
      </c>
      <c r="J195" s="463" t="s">
        <v>69</v>
      </c>
      <c r="K195" s="139" t="s">
        <v>1303</v>
      </c>
      <c r="L195" s="140" t="s">
        <v>2</v>
      </c>
      <c r="M195" s="141" t="s">
        <v>1970</v>
      </c>
      <c r="N195" s="134" t="s">
        <v>2293</v>
      </c>
      <c r="O195" s="134" t="s">
        <v>2294</v>
      </c>
      <c r="P195" s="134" t="s">
        <v>69</v>
      </c>
      <c r="Q195" s="134" t="s">
        <v>69</v>
      </c>
      <c r="R195" s="140"/>
      <c r="S195" s="135"/>
      <c r="T195" s="135"/>
      <c r="V195" s="149"/>
      <c r="Y195" s="134"/>
      <c r="Z195" s="134"/>
    </row>
    <row r="196" spans="1:153" s="141" customFormat="1" x14ac:dyDescent="0.2">
      <c r="A196" s="141" t="s">
        <v>1695</v>
      </c>
      <c r="B196" s="134" t="s">
        <v>1971</v>
      </c>
      <c r="C196" s="135" t="s">
        <v>164</v>
      </c>
      <c r="D196" s="136">
        <v>42.734000000000002</v>
      </c>
      <c r="E196" s="136">
        <v>-7.03</v>
      </c>
      <c r="F196" s="137">
        <f>(G196+H196)/2</f>
        <v>7181</v>
      </c>
      <c r="G196" s="138">
        <f>9131+124-1950</f>
        <v>7305</v>
      </c>
      <c r="H196" s="138">
        <f>9131-124-1950</f>
        <v>7057</v>
      </c>
      <c r="I196" s="463" t="s">
        <v>12</v>
      </c>
      <c r="J196" s="463" t="s">
        <v>468</v>
      </c>
      <c r="K196" s="139" t="s">
        <v>1696</v>
      </c>
      <c r="L196" s="140" t="s">
        <v>2</v>
      </c>
      <c r="M196" s="141" t="s">
        <v>1972</v>
      </c>
      <c r="N196" s="134" t="s">
        <v>2286</v>
      </c>
      <c r="O196" s="134" t="s">
        <v>2285</v>
      </c>
      <c r="P196" s="134" t="s">
        <v>69</v>
      </c>
      <c r="Q196" s="134" t="s">
        <v>69</v>
      </c>
      <c r="R196" s="140"/>
      <c r="S196" s="135"/>
      <c r="T196" s="135"/>
      <c r="V196" s="149"/>
      <c r="Y196" s="134"/>
      <c r="Z196" s="134"/>
    </row>
    <row r="197" spans="1:153" s="141" customFormat="1" x14ac:dyDescent="0.2">
      <c r="A197" s="141" t="s">
        <v>1950</v>
      </c>
      <c r="B197" s="134" t="s">
        <v>1973</v>
      </c>
      <c r="C197" s="135" t="s">
        <v>164</v>
      </c>
      <c r="D197" s="136">
        <v>42.943123</v>
      </c>
      <c r="E197" s="136">
        <v>-1.26247839999996</v>
      </c>
      <c r="F197" s="137">
        <v>4640</v>
      </c>
      <c r="G197" s="138">
        <v>5225</v>
      </c>
      <c r="H197" s="138">
        <v>3975</v>
      </c>
      <c r="I197" s="463" t="s">
        <v>510</v>
      </c>
      <c r="J197" s="463" t="s">
        <v>69</v>
      </c>
      <c r="K197" s="139" t="s">
        <v>1670</v>
      </c>
      <c r="L197" s="140" t="s">
        <v>69</v>
      </c>
      <c r="M197" s="141" t="s">
        <v>1974</v>
      </c>
      <c r="N197" s="134" t="s">
        <v>69</v>
      </c>
      <c r="O197" s="134" t="s">
        <v>69</v>
      </c>
      <c r="P197" s="134" t="s">
        <v>69</v>
      </c>
      <c r="Q197" s="134" t="s">
        <v>69</v>
      </c>
      <c r="R197" s="140"/>
      <c r="S197" s="135"/>
      <c r="T197" s="135"/>
      <c r="V197" s="149"/>
      <c r="Y197" s="134"/>
      <c r="Z197" s="134"/>
    </row>
    <row r="198" spans="1:153" s="152" customFormat="1" x14ac:dyDescent="0.2">
      <c r="A198" s="152" t="s">
        <v>1975</v>
      </c>
      <c r="B198" s="139" t="s">
        <v>1976</v>
      </c>
      <c r="C198" s="153" t="s">
        <v>164</v>
      </c>
      <c r="D198" s="151">
        <v>37.439436999999998</v>
      </c>
      <c r="E198" s="151">
        <v>-3.437567</v>
      </c>
      <c r="F198" s="137">
        <f t="shared" ref="F198:F203" si="8">(G198+H198)/2</f>
        <v>7600</v>
      </c>
      <c r="G198" s="137">
        <v>9700</v>
      </c>
      <c r="H198" s="137">
        <v>5500</v>
      </c>
      <c r="I198" s="470" t="s">
        <v>510</v>
      </c>
      <c r="J198" s="470" t="s">
        <v>1977</v>
      </c>
      <c r="K198" s="139" t="s">
        <v>1978</v>
      </c>
      <c r="L198" s="154" t="s">
        <v>14</v>
      </c>
      <c r="M198" s="152" t="s">
        <v>1979</v>
      </c>
      <c r="N198" s="139" t="s">
        <v>69</v>
      </c>
      <c r="O198" s="139" t="s">
        <v>69</v>
      </c>
      <c r="P198" s="139" t="s">
        <v>69</v>
      </c>
      <c r="Q198" s="139" t="s">
        <v>69</v>
      </c>
      <c r="R198" s="154"/>
      <c r="S198" s="153"/>
      <c r="T198" s="153"/>
      <c r="V198" s="155"/>
      <c r="Y198" s="139"/>
      <c r="Z198" s="139"/>
    </row>
    <row r="199" spans="1:153" s="152" customFormat="1" x14ac:dyDescent="0.2">
      <c r="A199" s="152" t="s">
        <v>1975</v>
      </c>
      <c r="B199" s="139" t="s">
        <v>1963</v>
      </c>
      <c r="C199" s="153" t="s">
        <v>164</v>
      </c>
      <c r="D199" s="151">
        <v>40.418195660000002</v>
      </c>
      <c r="E199" s="151">
        <v>-0.11675000000000001</v>
      </c>
      <c r="F199" s="137">
        <f t="shared" si="8"/>
        <v>5879.5</v>
      </c>
      <c r="G199" s="137">
        <v>5976</v>
      </c>
      <c r="H199" s="137">
        <v>5783</v>
      </c>
      <c r="I199" s="470" t="s">
        <v>1353</v>
      </c>
      <c r="J199" s="470" t="s">
        <v>1980</v>
      </c>
      <c r="K199" s="139" t="s">
        <v>1978</v>
      </c>
      <c r="L199" s="154" t="s">
        <v>14</v>
      </c>
      <c r="M199" s="152" t="s">
        <v>1981</v>
      </c>
      <c r="N199" s="139" t="s">
        <v>69</v>
      </c>
      <c r="O199" s="139" t="s">
        <v>69</v>
      </c>
      <c r="P199" s="139" t="s">
        <v>69</v>
      </c>
      <c r="Q199" s="139" t="s">
        <v>69</v>
      </c>
      <c r="R199" s="154"/>
      <c r="S199" s="153"/>
      <c r="T199" s="153"/>
      <c r="V199" s="155"/>
      <c r="Y199" s="139"/>
      <c r="Z199" s="139"/>
    </row>
    <row r="200" spans="1:153" s="152" customFormat="1" x14ac:dyDescent="0.2">
      <c r="A200" s="152" t="s">
        <v>698</v>
      </c>
      <c r="B200" s="139" t="s">
        <v>2287</v>
      </c>
      <c r="C200" s="153" t="s">
        <v>164</v>
      </c>
      <c r="D200" s="151">
        <v>41.991199999999999</v>
      </c>
      <c r="E200" s="151">
        <v>1.6395</v>
      </c>
      <c r="F200" s="137">
        <f t="shared" si="8"/>
        <v>11058.5</v>
      </c>
      <c r="G200" s="137">
        <v>11384</v>
      </c>
      <c r="H200" s="137">
        <v>10733</v>
      </c>
      <c r="I200" s="470" t="s">
        <v>487</v>
      </c>
      <c r="J200" s="470" t="s">
        <v>922</v>
      </c>
      <c r="K200" s="139" t="s">
        <v>1958</v>
      </c>
      <c r="L200" s="154"/>
      <c r="M200" s="152" t="s">
        <v>1982</v>
      </c>
      <c r="N200" s="139" t="s">
        <v>2288</v>
      </c>
      <c r="O200" s="139" t="s">
        <v>69</v>
      </c>
      <c r="P200" s="139" t="s">
        <v>69</v>
      </c>
      <c r="Q200" s="139" t="s">
        <v>69</v>
      </c>
      <c r="R200" s="154"/>
      <c r="S200" s="153"/>
      <c r="T200" s="153"/>
      <c r="V200" s="155"/>
      <c r="Y200" s="139"/>
      <c r="Z200" s="139"/>
    </row>
    <row r="201" spans="1:153" s="152" customFormat="1" x14ac:dyDescent="0.2">
      <c r="A201" s="152" t="s">
        <v>1975</v>
      </c>
      <c r="B201" s="139" t="s">
        <v>1983</v>
      </c>
      <c r="C201" s="153" t="s">
        <v>164</v>
      </c>
      <c r="D201" s="151">
        <v>39.79</v>
      </c>
      <c r="E201" s="151">
        <v>-1.0333330000000001</v>
      </c>
      <c r="F201" s="137">
        <f t="shared" si="8"/>
        <v>5997.5</v>
      </c>
      <c r="G201" s="137">
        <v>6061</v>
      </c>
      <c r="H201" s="137">
        <v>5934</v>
      </c>
      <c r="I201" s="470" t="s">
        <v>1200</v>
      </c>
      <c r="J201" s="470" t="s">
        <v>863</v>
      </c>
      <c r="K201" s="139" t="s">
        <v>1978</v>
      </c>
      <c r="L201" s="154" t="s">
        <v>14</v>
      </c>
      <c r="M201" s="152" t="s">
        <v>1984</v>
      </c>
      <c r="N201" s="139" t="s">
        <v>69</v>
      </c>
      <c r="O201" s="139" t="s">
        <v>69</v>
      </c>
      <c r="P201" s="139" t="s">
        <v>69</v>
      </c>
      <c r="Q201" s="139" t="s">
        <v>69</v>
      </c>
      <c r="R201" s="154"/>
      <c r="S201" s="153"/>
      <c r="T201" s="153"/>
      <c r="V201" s="155"/>
      <c r="Y201" s="139"/>
      <c r="Z201" s="139"/>
    </row>
    <row r="202" spans="1:153" s="152" customFormat="1" x14ac:dyDescent="0.2">
      <c r="A202" s="152" t="s">
        <v>1741</v>
      </c>
      <c r="B202" s="139" t="s">
        <v>1985</v>
      </c>
      <c r="C202" s="153" t="s">
        <v>164</v>
      </c>
      <c r="D202" s="151">
        <v>42.911000000000001</v>
      </c>
      <c r="E202" s="151">
        <v>-5.3777999999999997</v>
      </c>
      <c r="F202" s="137">
        <f t="shared" si="8"/>
        <v>5865</v>
      </c>
      <c r="G202" s="137">
        <v>5983</v>
      </c>
      <c r="H202" s="137">
        <v>5747</v>
      </c>
      <c r="I202" s="470" t="s">
        <v>1223</v>
      </c>
      <c r="J202" s="470" t="s">
        <v>147</v>
      </c>
      <c r="K202" s="139" t="s">
        <v>1670</v>
      </c>
      <c r="L202" s="154" t="s">
        <v>14</v>
      </c>
      <c r="M202" s="152" t="s">
        <v>1986</v>
      </c>
      <c r="N202" s="139" t="s">
        <v>1987</v>
      </c>
      <c r="O202" s="139" t="s">
        <v>69</v>
      </c>
      <c r="P202" s="139" t="s">
        <v>69</v>
      </c>
      <c r="Q202" s="139" t="s">
        <v>69</v>
      </c>
      <c r="R202" s="154"/>
      <c r="S202" s="153"/>
      <c r="T202" s="153"/>
      <c r="V202" s="155"/>
      <c r="Y202" s="139"/>
      <c r="Z202" s="139"/>
    </row>
    <row r="203" spans="1:153" s="152" customFormat="1" x14ac:dyDescent="0.2">
      <c r="A203" s="152" t="s">
        <v>1975</v>
      </c>
      <c r="B203" s="139" t="s">
        <v>1985</v>
      </c>
      <c r="C203" s="153" t="s">
        <v>164</v>
      </c>
      <c r="D203" s="151">
        <v>42.911000000000001</v>
      </c>
      <c r="E203" s="151">
        <v>-5.3777999999999997</v>
      </c>
      <c r="F203" s="137">
        <f t="shared" si="8"/>
        <v>5903</v>
      </c>
      <c r="G203" s="137">
        <v>6010</v>
      </c>
      <c r="H203" s="137">
        <v>5796</v>
      </c>
      <c r="I203" s="470" t="s">
        <v>1480</v>
      </c>
      <c r="J203" s="470" t="s">
        <v>147</v>
      </c>
      <c r="K203" s="139" t="s">
        <v>1988</v>
      </c>
      <c r="L203" s="154" t="s">
        <v>14</v>
      </c>
      <c r="M203" s="152" t="s">
        <v>1989</v>
      </c>
      <c r="N203" s="139" t="s">
        <v>69</v>
      </c>
      <c r="O203" s="139" t="s">
        <v>69</v>
      </c>
      <c r="P203" s="139" t="s">
        <v>69</v>
      </c>
      <c r="Q203" s="139" t="s">
        <v>69</v>
      </c>
      <c r="R203" s="154"/>
      <c r="S203" s="153"/>
      <c r="T203" s="153"/>
      <c r="V203" s="155"/>
      <c r="Y203" s="139"/>
      <c r="Z203" s="139"/>
    </row>
    <row r="204" spans="1:153" s="156" customFormat="1" x14ac:dyDescent="0.2">
      <c r="A204" s="156" t="s">
        <v>4608</v>
      </c>
      <c r="B204" s="156" t="s">
        <v>2280</v>
      </c>
      <c r="C204" s="156" t="s">
        <v>164</v>
      </c>
      <c r="D204" s="157">
        <v>43.250930099999998</v>
      </c>
      <c r="E204" s="157">
        <v>2.33402690000002</v>
      </c>
      <c r="F204" s="158">
        <f>(G204+H204)/2</f>
        <v>5625</v>
      </c>
      <c r="G204" s="159">
        <v>6250</v>
      </c>
      <c r="H204" s="159">
        <v>5000</v>
      </c>
      <c r="I204" s="471" t="s">
        <v>18</v>
      </c>
      <c r="J204" s="497" t="s">
        <v>69</v>
      </c>
      <c r="K204" s="156" t="s">
        <v>2282</v>
      </c>
      <c r="L204" s="159" t="s">
        <v>69</v>
      </c>
      <c r="M204" s="156" t="s">
        <v>2277</v>
      </c>
      <c r="N204" s="160" t="s">
        <v>69</v>
      </c>
      <c r="O204" s="160" t="s">
        <v>69</v>
      </c>
      <c r="P204" s="160" t="s">
        <v>69</v>
      </c>
      <c r="Q204" s="160" t="s">
        <v>69</v>
      </c>
      <c r="R204" s="159"/>
      <c r="S204" s="161"/>
      <c r="T204" s="161"/>
      <c r="U204" s="161"/>
      <c r="V204" s="161"/>
      <c r="W204" s="161"/>
      <c r="X204" s="161"/>
      <c r="Y204" s="161"/>
      <c r="Z204" s="161"/>
      <c r="AA204" s="161"/>
      <c r="AB204" s="161"/>
      <c r="AC204" s="161"/>
      <c r="AD204" s="161"/>
      <c r="AE204" s="161"/>
      <c r="AF204" s="161"/>
      <c r="AG204" s="161"/>
      <c r="AH204" s="161"/>
      <c r="AI204" s="161"/>
      <c r="AJ204" s="161"/>
      <c r="AK204" s="161"/>
      <c r="AL204" s="161"/>
      <c r="AM204" s="161"/>
      <c r="AN204" s="161"/>
      <c r="AO204" s="161"/>
      <c r="AP204" s="161"/>
      <c r="AQ204" s="161"/>
      <c r="AR204" s="161"/>
      <c r="AS204" s="161"/>
      <c r="AT204" s="161"/>
      <c r="AU204" s="161"/>
      <c r="AV204" s="161"/>
      <c r="AW204" s="161"/>
      <c r="AX204" s="161"/>
      <c r="AY204" s="161"/>
      <c r="AZ204" s="161"/>
      <c r="BA204" s="161"/>
      <c r="BB204" s="161"/>
      <c r="BC204" s="161"/>
      <c r="BD204" s="161"/>
      <c r="BE204" s="161"/>
      <c r="BF204" s="161"/>
      <c r="BG204" s="161"/>
      <c r="BH204" s="161"/>
      <c r="BI204" s="161"/>
      <c r="BJ204" s="161"/>
      <c r="BK204" s="161"/>
      <c r="BL204" s="161"/>
      <c r="BM204" s="161"/>
      <c r="BN204" s="161"/>
      <c r="BO204" s="161"/>
      <c r="BP204" s="161"/>
      <c r="BQ204" s="161"/>
      <c r="BR204" s="161"/>
      <c r="BS204" s="161"/>
      <c r="BT204" s="161"/>
      <c r="BU204" s="161"/>
      <c r="BV204" s="161"/>
      <c r="BW204" s="161"/>
      <c r="BX204" s="161"/>
      <c r="BY204" s="161"/>
      <c r="BZ204" s="161"/>
      <c r="CA204" s="161"/>
      <c r="CB204" s="161"/>
      <c r="CC204" s="161"/>
      <c r="CD204" s="161"/>
      <c r="CE204" s="161"/>
      <c r="CF204" s="161"/>
      <c r="CG204" s="161"/>
      <c r="CH204" s="161"/>
      <c r="CI204" s="161"/>
      <c r="CJ204" s="161"/>
      <c r="CK204" s="161"/>
      <c r="CL204" s="161"/>
      <c r="CM204" s="161"/>
      <c r="CN204" s="161"/>
      <c r="CO204" s="161"/>
      <c r="CP204" s="161"/>
      <c r="CQ204" s="161"/>
      <c r="CR204" s="161"/>
      <c r="CS204" s="161"/>
      <c r="CT204" s="161"/>
      <c r="CU204" s="161"/>
      <c r="CV204" s="161"/>
      <c r="CW204" s="161"/>
      <c r="CX204" s="161"/>
      <c r="CY204" s="161"/>
      <c r="CZ204" s="161"/>
      <c r="DA204" s="161"/>
      <c r="DB204" s="161"/>
      <c r="DC204" s="161"/>
      <c r="DD204" s="161"/>
      <c r="DE204" s="161"/>
      <c r="DF204" s="161"/>
      <c r="DG204" s="161"/>
      <c r="DH204" s="161"/>
      <c r="DI204" s="161"/>
      <c r="DJ204" s="161"/>
      <c r="DK204" s="161"/>
      <c r="DL204" s="161"/>
      <c r="DM204" s="161"/>
      <c r="DN204" s="161"/>
      <c r="DO204" s="161"/>
      <c r="DP204" s="161"/>
      <c r="DQ204" s="161"/>
      <c r="DR204" s="161"/>
      <c r="DS204" s="161"/>
      <c r="DT204" s="161"/>
      <c r="DU204" s="161"/>
      <c r="DV204" s="161"/>
      <c r="DW204" s="161"/>
      <c r="DX204" s="161"/>
      <c r="DY204" s="161"/>
      <c r="DZ204" s="161"/>
      <c r="EA204" s="161"/>
      <c r="EB204" s="161"/>
      <c r="EC204" s="161"/>
      <c r="ED204" s="161"/>
      <c r="EE204" s="161"/>
      <c r="EF204" s="161"/>
      <c r="EG204" s="161"/>
      <c r="EH204" s="161"/>
      <c r="EI204" s="161"/>
      <c r="EJ204" s="161"/>
      <c r="EK204" s="161"/>
      <c r="EL204" s="161"/>
      <c r="EM204" s="161"/>
      <c r="EN204" s="161"/>
      <c r="EO204" s="161"/>
      <c r="EP204" s="161"/>
      <c r="EQ204" s="161"/>
      <c r="ER204" s="161"/>
      <c r="ES204" s="161"/>
      <c r="ET204" s="161"/>
      <c r="EU204" s="161"/>
      <c r="EV204" s="161"/>
      <c r="EW204" s="161"/>
    </row>
    <row r="205" spans="1:153" s="156" customFormat="1" x14ac:dyDescent="0.2">
      <c r="A205" s="917" t="s">
        <v>4608</v>
      </c>
      <c r="B205" s="918" t="s">
        <v>2281</v>
      </c>
      <c r="C205" s="918" t="s">
        <v>164</v>
      </c>
      <c r="D205" s="919">
        <v>43.340014500000002</v>
      </c>
      <c r="E205" s="919">
        <v>-2.6548742999999599</v>
      </c>
      <c r="F205" s="919">
        <f>(G205+H205)/2</f>
        <v>11500</v>
      </c>
      <c r="G205" s="919">
        <v>14000</v>
      </c>
      <c r="H205" s="919">
        <v>9000</v>
      </c>
      <c r="I205" s="921" t="s">
        <v>559</v>
      </c>
      <c r="J205" s="920" t="s">
        <v>69</v>
      </c>
      <c r="K205" s="918" t="s">
        <v>1952</v>
      </c>
      <c r="L205" s="919" t="s">
        <v>69</v>
      </c>
      <c r="M205" s="915" t="s">
        <v>2278</v>
      </c>
      <c r="N205" s="916" t="s">
        <v>4605</v>
      </c>
      <c r="O205" s="922" t="s">
        <v>4610</v>
      </c>
      <c r="P205" s="916" t="s">
        <v>69</v>
      </c>
      <c r="Q205" s="916" t="s">
        <v>69</v>
      </c>
      <c r="R205" s="160" t="s">
        <v>4612</v>
      </c>
      <c r="S205" s="161"/>
      <c r="T205" s="161"/>
      <c r="U205" s="161"/>
      <c r="V205" s="161"/>
      <c r="W205" s="161"/>
      <c r="X205" s="161"/>
      <c r="Y205" s="161"/>
      <c r="Z205" s="161"/>
      <c r="AA205" s="161"/>
      <c r="AB205" s="161"/>
      <c r="AC205" s="161"/>
      <c r="AD205" s="161"/>
      <c r="AE205" s="161"/>
      <c r="AF205" s="161"/>
      <c r="AG205" s="161"/>
      <c r="AH205" s="161"/>
      <c r="AI205" s="161"/>
      <c r="AJ205" s="161"/>
      <c r="AK205" s="161"/>
      <c r="AL205" s="161"/>
      <c r="AM205" s="161"/>
      <c r="AN205" s="161"/>
      <c r="AO205" s="161"/>
      <c r="AP205" s="161"/>
      <c r="AQ205" s="161"/>
      <c r="AR205" s="161"/>
      <c r="AS205" s="161"/>
      <c r="AT205" s="161"/>
      <c r="AU205" s="161"/>
      <c r="AV205" s="161"/>
      <c r="AW205" s="161"/>
      <c r="AX205" s="161"/>
      <c r="AY205" s="161"/>
      <c r="AZ205" s="161"/>
      <c r="BA205" s="161"/>
      <c r="BB205" s="161"/>
      <c r="BC205" s="161"/>
      <c r="BD205" s="161"/>
      <c r="BE205" s="161"/>
      <c r="BF205" s="161"/>
      <c r="BG205" s="161"/>
      <c r="BH205" s="161"/>
      <c r="BI205" s="161"/>
      <c r="BJ205" s="161"/>
      <c r="BK205" s="161"/>
      <c r="BL205" s="161"/>
      <c r="BM205" s="161"/>
      <c r="BN205" s="161"/>
      <c r="BO205" s="161"/>
      <c r="BP205" s="161"/>
      <c r="BQ205" s="161"/>
      <c r="BR205" s="161"/>
      <c r="BS205" s="161"/>
      <c r="BT205" s="161"/>
      <c r="BU205" s="161"/>
      <c r="BV205" s="161"/>
      <c r="BW205" s="161"/>
      <c r="BX205" s="161"/>
      <c r="BY205" s="161"/>
      <c r="BZ205" s="161"/>
      <c r="CA205" s="161"/>
      <c r="CB205" s="161"/>
      <c r="CC205" s="161"/>
      <c r="CD205" s="161"/>
      <c r="CE205" s="161"/>
      <c r="CF205" s="161"/>
      <c r="CG205" s="161"/>
      <c r="CH205" s="161"/>
      <c r="CI205" s="161"/>
      <c r="CJ205" s="161"/>
      <c r="CK205" s="161"/>
      <c r="CL205" s="161"/>
      <c r="CM205" s="161"/>
      <c r="CN205" s="161"/>
      <c r="CO205" s="161"/>
      <c r="CP205" s="161"/>
      <c r="CQ205" s="161"/>
      <c r="CR205" s="161"/>
      <c r="CS205" s="161"/>
      <c r="CT205" s="161"/>
      <c r="CU205" s="161"/>
      <c r="CV205" s="161"/>
      <c r="CW205" s="161"/>
      <c r="CX205" s="161"/>
      <c r="CY205" s="161"/>
      <c r="CZ205" s="161"/>
      <c r="DA205" s="161"/>
      <c r="DB205" s="161"/>
      <c r="DC205" s="161"/>
      <c r="DD205" s="161"/>
      <c r="DE205" s="161"/>
      <c r="DF205" s="161"/>
      <c r="DG205" s="161"/>
      <c r="DH205" s="161"/>
      <c r="DI205" s="161"/>
      <c r="DJ205" s="161"/>
      <c r="DK205" s="161"/>
      <c r="DL205" s="161"/>
      <c r="DM205" s="161"/>
      <c r="DN205" s="161"/>
      <c r="DO205" s="161"/>
      <c r="DP205" s="161"/>
      <c r="DQ205" s="161"/>
      <c r="DR205" s="161"/>
      <c r="DS205" s="161"/>
      <c r="DT205" s="161"/>
      <c r="DU205" s="161"/>
      <c r="DV205" s="161"/>
      <c r="DW205" s="161"/>
      <c r="DX205" s="161"/>
      <c r="DY205" s="161"/>
      <c r="DZ205" s="161"/>
      <c r="EA205" s="161"/>
      <c r="EB205" s="161"/>
      <c r="EC205" s="161"/>
      <c r="ED205" s="161"/>
      <c r="EE205" s="161"/>
      <c r="EF205" s="161"/>
      <c r="EG205" s="161"/>
      <c r="EH205" s="161"/>
      <c r="EI205" s="161"/>
      <c r="EJ205" s="161"/>
      <c r="EK205" s="161"/>
      <c r="EL205" s="161"/>
      <c r="EM205" s="161"/>
      <c r="EN205" s="161"/>
      <c r="EO205" s="161"/>
      <c r="EP205" s="161"/>
      <c r="EQ205" s="161"/>
      <c r="ER205" s="161"/>
      <c r="ES205" s="161"/>
      <c r="ET205" s="161"/>
      <c r="EU205" s="161"/>
      <c r="EV205" s="161"/>
      <c r="EW205" s="161"/>
    </row>
    <row r="206" spans="1:153" s="156" customFormat="1" x14ac:dyDescent="0.2">
      <c r="A206" s="156" t="s">
        <v>4614</v>
      </c>
      <c r="B206" s="156" t="s">
        <v>2281</v>
      </c>
      <c r="C206" s="156" t="s">
        <v>164</v>
      </c>
      <c r="D206" s="157">
        <v>43.340014500000002</v>
      </c>
      <c r="E206" s="157">
        <v>-2.6548742999999599</v>
      </c>
      <c r="F206" s="158">
        <f>(G206+H206)/2</f>
        <v>5080</v>
      </c>
      <c r="G206" s="159">
        <v>5210</v>
      </c>
      <c r="H206" s="159">
        <v>4950</v>
      </c>
      <c r="I206" s="471" t="s">
        <v>1912</v>
      </c>
      <c r="J206" s="497" t="s">
        <v>69</v>
      </c>
      <c r="K206" s="156" t="s">
        <v>1363</v>
      </c>
      <c r="L206" s="159" t="s">
        <v>69</v>
      </c>
      <c r="M206" s="156" t="s">
        <v>2279</v>
      </c>
      <c r="N206" s="160" t="s">
        <v>4604</v>
      </c>
      <c r="O206" s="923" t="s">
        <v>4611</v>
      </c>
      <c r="P206" s="160" t="s">
        <v>69</v>
      </c>
      <c r="Q206" s="160" t="s">
        <v>69</v>
      </c>
      <c r="R206" s="160" t="s">
        <v>4613</v>
      </c>
      <c r="S206" s="161"/>
      <c r="T206" s="161"/>
      <c r="U206" s="161"/>
      <c r="V206" s="161"/>
      <c r="W206" s="161"/>
      <c r="X206" s="161"/>
      <c r="Y206" s="161"/>
      <c r="Z206" s="161"/>
      <c r="AA206" s="161"/>
      <c r="AB206" s="161"/>
      <c r="AC206" s="161"/>
      <c r="AD206" s="161"/>
      <c r="AE206" s="161"/>
      <c r="AF206" s="161"/>
      <c r="AG206" s="161"/>
      <c r="AH206" s="161"/>
      <c r="AI206" s="161"/>
      <c r="AJ206" s="161"/>
      <c r="AK206" s="161"/>
      <c r="AL206" s="161"/>
      <c r="AM206" s="161"/>
      <c r="AN206" s="161"/>
      <c r="AO206" s="161"/>
      <c r="AP206" s="161"/>
      <c r="AQ206" s="161"/>
      <c r="AR206" s="161"/>
      <c r="AS206" s="161"/>
      <c r="AT206" s="161"/>
      <c r="AU206" s="161"/>
      <c r="AV206" s="161"/>
      <c r="AW206" s="161"/>
      <c r="AX206" s="161"/>
      <c r="AY206" s="161"/>
      <c r="AZ206" s="161"/>
      <c r="BA206" s="161"/>
      <c r="BB206" s="161"/>
      <c r="BC206" s="161"/>
      <c r="BD206" s="161"/>
      <c r="BE206" s="161"/>
      <c r="BF206" s="161"/>
      <c r="BG206" s="161"/>
      <c r="BH206" s="161"/>
      <c r="BI206" s="161"/>
      <c r="BJ206" s="161"/>
      <c r="BK206" s="161"/>
      <c r="BL206" s="161"/>
      <c r="BM206" s="161"/>
      <c r="BN206" s="161"/>
      <c r="BO206" s="161"/>
      <c r="BP206" s="161"/>
      <c r="BQ206" s="161"/>
      <c r="BR206" s="161"/>
      <c r="BS206" s="161"/>
      <c r="BT206" s="161"/>
      <c r="BU206" s="161"/>
      <c r="BV206" s="161"/>
      <c r="BW206" s="161"/>
      <c r="BX206" s="161"/>
      <c r="BY206" s="161"/>
      <c r="BZ206" s="161"/>
      <c r="CA206" s="161"/>
      <c r="CB206" s="161"/>
      <c r="CC206" s="161"/>
      <c r="CD206" s="161"/>
      <c r="CE206" s="161"/>
      <c r="CF206" s="161"/>
      <c r="CG206" s="161"/>
      <c r="CH206" s="161"/>
      <c r="CI206" s="161"/>
      <c r="CJ206" s="161"/>
      <c r="CK206" s="161"/>
      <c r="CL206" s="161"/>
      <c r="CM206" s="161"/>
      <c r="CN206" s="161"/>
      <c r="CO206" s="161"/>
      <c r="CP206" s="161"/>
      <c r="CQ206" s="161"/>
      <c r="CR206" s="161"/>
      <c r="CS206" s="161"/>
      <c r="CT206" s="161"/>
      <c r="CU206" s="161"/>
      <c r="CV206" s="161"/>
      <c r="CW206" s="161"/>
      <c r="CX206" s="161"/>
      <c r="CY206" s="161"/>
      <c r="CZ206" s="161"/>
      <c r="DA206" s="161"/>
      <c r="DB206" s="161"/>
      <c r="DC206" s="161"/>
      <c r="DD206" s="161"/>
      <c r="DE206" s="161"/>
      <c r="DF206" s="161"/>
      <c r="DG206" s="161"/>
      <c r="DH206" s="161"/>
      <c r="DI206" s="161"/>
      <c r="DJ206" s="161"/>
      <c r="DK206" s="161"/>
      <c r="DL206" s="161"/>
      <c r="DM206" s="161"/>
      <c r="DN206" s="161"/>
      <c r="DO206" s="161"/>
      <c r="DP206" s="161"/>
      <c r="DQ206" s="161"/>
      <c r="DR206" s="161"/>
      <c r="DS206" s="161"/>
      <c r="DT206" s="161"/>
      <c r="DU206" s="161"/>
      <c r="DV206" s="161"/>
      <c r="DW206" s="161"/>
      <c r="DX206" s="161"/>
      <c r="DY206" s="161"/>
      <c r="DZ206" s="161"/>
      <c r="EA206" s="161"/>
      <c r="EB206" s="161"/>
      <c r="EC206" s="161"/>
      <c r="ED206" s="161"/>
      <c r="EE206" s="161"/>
      <c r="EF206" s="161"/>
      <c r="EG206" s="161"/>
      <c r="EH206" s="161"/>
      <c r="EI206" s="161"/>
      <c r="EJ206" s="161"/>
      <c r="EK206" s="161"/>
      <c r="EL206" s="161"/>
      <c r="EM206" s="161"/>
      <c r="EN206" s="161"/>
      <c r="EO206" s="161"/>
      <c r="EP206" s="161"/>
      <c r="EQ206" s="161"/>
      <c r="ER206" s="161"/>
      <c r="ES206" s="161"/>
      <c r="ET206" s="161"/>
      <c r="EU206" s="161"/>
      <c r="EV206" s="161"/>
      <c r="EW206" s="161"/>
    </row>
    <row r="207" spans="1:153" s="141" customFormat="1" x14ac:dyDescent="0.2">
      <c r="A207" s="141" t="s">
        <v>2261</v>
      </c>
      <c r="B207" s="162" t="s">
        <v>2264</v>
      </c>
      <c r="C207" s="162" t="s">
        <v>164</v>
      </c>
      <c r="D207" s="163">
        <v>36.785916100000001</v>
      </c>
      <c r="E207" s="163">
        <v>-3.8044830999999699</v>
      </c>
      <c r="F207" s="158">
        <f>(G207+H207)/2</f>
        <v>16500</v>
      </c>
      <c r="G207" s="164">
        <v>18000</v>
      </c>
      <c r="H207" s="164">
        <v>15000</v>
      </c>
      <c r="I207" s="472" t="s">
        <v>8</v>
      </c>
      <c r="J207" s="498" t="s">
        <v>69</v>
      </c>
      <c r="K207" s="139" t="s">
        <v>1809</v>
      </c>
      <c r="L207" s="140" t="s">
        <v>69</v>
      </c>
      <c r="M207" s="162" t="s">
        <v>2265</v>
      </c>
      <c r="N207" s="134" t="s">
        <v>69</v>
      </c>
      <c r="O207" s="134" t="s">
        <v>69</v>
      </c>
      <c r="P207" s="134" t="s">
        <v>69</v>
      </c>
      <c r="Q207" s="134" t="s">
        <v>69</v>
      </c>
      <c r="R207" s="140"/>
      <c r="S207" s="135"/>
      <c r="T207" s="135"/>
      <c r="U207" s="135"/>
      <c r="V207" s="135"/>
      <c r="W207" s="135"/>
      <c r="X207" s="135"/>
      <c r="Y207" s="135"/>
      <c r="Z207" s="135"/>
      <c r="AA207" s="135"/>
      <c r="AB207" s="135"/>
      <c r="AC207" s="135"/>
      <c r="AD207" s="135"/>
      <c r="AE207" s="135"/>
      <c r="AF207" s="135"/>
      <c r="AG207" s="135"/>
      <c r="AH207" s="135"/>
      <c r="AI207" s="135"/>
      <c r="AJ207" s="135"/>
      <c r="AK207" s="135"/>
      <c r="AL207" s="135"/>
      <c r="AM207" s="135"/>
      <c r="AN207" s="135"/>
      <c r="AO207" s="135"/>
      <c r="AP207" s="135"/>
      <c r="AQ207" s="135"/>
      <c r="AR207" s="135"/>
      <c r="AS207" s="135"/>
      <c r="AT207" s="135"/>
      <c r="AU207" s="135"/>
      <c r="AV207" s="135"/>
      <c r="AW207" s="135"/>
      <c r="AX207" s="135"/>
      <c r="AY207" s="135"/>
      <c r="AZ207" s="135"/>
      <c r="BA207" s="135"/>
      <c r="BB207" s="135"/>
      <c r="BC207" s="135"/>
      <c r="BD207" s="135"/>
      <c r="BE207" s="135"/>
      <c r="BF207" s="135"/>
      <c r="BG207" s="135"/>
      <c r="BH207" s="135"/>
      <c r="BI207" s="135"/>
      <c r="BJ207" s="135"/>
      <c r="BK207" s="135"/>
      <c r="BL207" s="135"/>
      <c r="BM207" s="135"/>
      <c r="BN207" s="135"/>
      <c r="BO207" s="135"/>
      <c r="BP207" s="135"/>
      <c r="BQ207" s="135"/>
      <c r="BR207" s="135"/>
      <c r="BS207" s="135"/>
      <c r="BT207" s="135"/>
      <c r="BU207" s="135"/>
      <c r="BV207" s="135"/>
      <c r="BW207" s="135"/>
      <c r="BX207" s="135"/>
      <c r="BY207" s="135"/>
      <c r="BZ207" s="135"/>
      <c r="CA207" s="135"/>
      <c r="CB207" s="135"/>
      <c r="CC207" s="135"/>
      <c r="CD207" s="135"/>
      <c r="CE207" s="135"/>
      <c r="CF207" s="135"/>
      <c r="CG207" s="135"/>
      <c r="CH207" s="135"/>
      <c r="CI207" s="135"/>
      <c r="CJ207" s="135"/>
      <c r="CK207" s="135"/>
      <c r="CL207" s="135"/>
      <c r="CM207" s="135"/>
      <c r="CN207" s="135"/>
      <c r="CO207" s="135"/>
      <c r="CP207" s="135"/>
      <c r="CQ207" s="135"/>
      <c r="CR207" s="135"/>
      <c r="CS207" s="135"/>
      <c r="CT207" s="135"/>
      <c r="CU207" s="135"/>
      <c r="CV207" s="135"/>
      <c r="CW207" s="135"/>
      <c r="CX207" s="135"/>
      <c r="CY207" s="135"/>
      <c r="CZ207" s="135"/>
      <c r="DA207" s="135"/>
      <c r="DB207" s="135"/>
      <c r="DC207" s="135"/>
      <c r="DD207" s="135"/>
      <c r="DE207" s="135"/>
      <c r="DF207" s="135"/>
      <c r="DG207" s="135"/>
      <c r="DH207" s="135"/>
      <c r="DI207" s="135"/>
      <c r="DJ207" s="135"/>
      <c r="DK207" s="135"/>
      <c r="DL207" s="135"/>
      <c r="DM207" s="135"/>
      <c r="DN207" s="135"/>
      <c r="DO207" s="135"/>
      <c r="DP207" s="135"/>
      <c r="DQ207" s="135"/>
      <c r="DR207" s="135"/>
      <c r="DS207" s="135"/>
      <c r="DT207" s="135"/>
      <c r="DU207" s="135"/>
      <c r="DV207" s="135"/>
      <c r="DW207" s="135"/>
      <c r="DX207" s="135"/>
      <c r="DY207" s="135"/>
      <c r="DZ207" s="135"/>
      <c r="EA207" s="135"/>
      <c r="EB207" s="135"/>
      <c r="EC207" s="135"/>
      <c r="ED207" s="135"/>
      <c r="EE207" s="135"/>
      <c r="EF207" s="135"/>
      <c r="EG207" s="135"/>
      <c r="EH207" s="135"/>
      <c r="EI207" s="135"/>
      <c r="EJ207" s="135"/>
      <c r="EK207" s="135"/>
      <c r="EL207" s="135"/>
      <c r="EM207" s="135"/>
      <c r="EN207" s="135"/>
      <c r="EO207" s="135"/>
      <c r="EP207" s="135"/>
      <c r="EQ207" s="135"/>
      <c r="ER207" s="135"/>
      <c r="ES207" s="135"/>
      <c r="ET207" s="135"/>
      <c r="EU207" s="135"/>
      <c r="EV207" s="135"/>
      <c r="EW207" s="135"/>
    </row>
    <row r="208" spans="1:153" s="141" customFormat="1" x14ac:dyDescent="0.2">
      <c r="A208" s="141" t="s">
        <v>2504</v>
      </c>
      <c r="B208" s="165" t="s">
        <v>2714</v>
      </c>
      <c r="C208" s="162" t="s">
        <v>164</v>
      </c>
      <c r="D208" s="167">
        <v>43.404000000000003</v>
      </c>
      <c r="E208" s="167">
        <v>-4.7069999999999999</v>
      </c>
      <c r="F208" s="168">
        <v>6323.5</v>
      </c>
      <c r="G208" s="167">
        <v>6415</v>
      </c>
      <c r="H208" s="167">
        <v>6232</v>
      </c>
      <c r="I208" s="467" t="s">
        <v>1664</v>
      </c>
      <c r="J208" s="467"/>
      <c r="K208" s="139"/>
      <c r="L208" s="140"/>
      <c r="M208" s="165" t="s">
        <v>2710</v>
      </c>
      <c r="N208" s="165" t="s">
        <v>2711</v>
      </c>
      <c r="O208" s="134"/>
      <c r="P208" s="134"/>
      <c r="Q208" s="134"/>
      <c r="R208" s="140"/>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5"/>
      <c r="AY208" s="135"/>
      <c r="AZ208" s="135"/>
      <c r="BA208" s="135"/>
      <c r="BB208" s="135"/>
      <c r="BC208" s="135"/>
      <c r="BD208" s="135"/>
      <c r="BE208" s="135"/>
      <c r="BF208" s="135"/>
      <c r="BG208" s="135"/>
      <c r="BH208" s="135"/>
      <c r="BI208" s="135"/>
      <c r="BJ208" s="135"/>
      <c r="BK208" s="135"/>
      <c r="BL208" s="135"/>
      <c r="BM208" s="135"/>
      <c r="BN208" s="135"/>
      <c r="BO208" s="135"/>
      <c r="BP208" s="135"/>
      <c r="BQ208" s="135"/>
      <c r="BR208" s="135"/>
      <c r="BS208" s="135"/>
      <c r="BT208" s="135"/>
      <c r="BU208" s="135"/>
      <c r="BV208" s="135"/>
      <c r="BW208" s="135"/>
      <c r="BX208" s="135"/>
      <c r="BY208" s="135"/>
      <c r="BZ208" s="135"/>
      <c r="CA208" s="135"/>
      <c r="CB208" s="135"/>
      <c r="CC208" s="135"/>
      <c r="CD208" s="135"/>
      <c r="CE208" s="135"/>
      <c r="CF208" s="135"/>
      <c r="CG208" s="135"/>
      <c r="CH208" s="135"/>
      <c r="CI208" s="135"/>
      <c r="CJ208" s="135"/>
      <c r="CK208" s="135"/>
      <c r="CL208" s="135"/>
      <c r="CM208" s="135"/>
      <c r="CN208" s="135"/>
      <c r="CO208" s="135"/>
      <c r="CP208" s="135"/>
      <c r="CQ208" s="135"/>
      <c r="CR208" s="135"/>
      <c r="CS208" s="135"/>
      <c r="CT208" s="135"/>
      <c r="CU208" s="135"/>
      <c r="CV208" s="135"/>
      <c r="CW208" s="135"/>
      <c r="CX208" s="135"/>
      <c r="CY208" s="135"/>
      <c r="CZ208" s="135"/>
      <c r="DA208" s="135"/>
      <c r="DB208" s="135"/>
      <c r="DC208" s="135"/>
      <c r="DD208" s="135"/>
      <c r="DE208" s="135"/>
      <c r="DF208" s="135"/>
      <c r="DG208" s="135"/>
      <c r="DH208" s="135"/>
      <c r="DI208" s="135"/>
      <c r="DJ208" s="135"/>
      <c r="DK208" s="135"/>
      <c r="DL208" s="135"/>
      <c r="DM208" s="135"/>
      <c r="DN208" s="135"/>
      <c r="DO208" s="135"/>
      <c r="DP208" s="135"/>
      <c r="DQ208" s="135"/>
      <c r="DR208" s="135"/>
      <c r="DS208" s="135"/>
      <c r="DT208" s="135"/>
      <c r="DU208" s="135"/>
      <c r="DV208" s="135"/>
      <c r="DW208" s="135"/>
      <c r="DX208" s="135"/>
      <c r="DY208" s="135"/>
      <c r="DZ208" s="135"/>
      <c r="EA208" s="135"/>
      <c r="EB208" s="135"/>
      <c r="EC208" s="135"/>
      <c r="ED208" s="135"/>
      <c r="EE208" s="135"/>
      <c r="EF208" s="135"/>
      <c r="EG208" s="135"/>
      <c r="EH208" s="135"/>
      <c r="EI208" s="135"/>
      <c r="EJ208" s="135"/>
      <c r="EK208" s="135"/>
      <c r="EL208" s="135"/>
      <c r="EM208" s="135"/>
      <c r="EN208" s="135"/>
      <c r="EO208" s="135"/>
      <c r="EP208" s="135"/>
      <c r="EQ208" s="135"/>
      <c r="ER208" s="135"/>
      <c r="ES208" s="135"/>
      <c r="ET208" s="135"/>
      <c r="EU208" s="135"/>
      <c r="EV208" s="135"/>
      <c r="EW208" s="135"/>
    </row>
    <row r="209" spans="1:153" s="141" customFormat="1" x14ac:dyDescent="0.2">
      <c r="A209" s="141" t="s">
        <v>2504</v>
      </c>
      <c r="B209" s="165" t="s">
        <v>2715</v>
      </c>
      <c r="C209" s="162" t="s">
        <v>164</v>
      </c>
      <c r="D209" s="167">
        <v>43.402000000000001</v>
      </c>
      <c r="E209" s="167">
        <v>-4.7069999999999999</v>
      </c>
      <c r="F209" s="168">
        <v>5574</v>
      </c>
      <c r="G209" s="167">
        <v>5666</v>
      </c>
      <c r="H209" s="167">
        <v>5482</v>
      </c>
      <c r="I209" s="467" t="s">
        <v>1912</v>
      </c>
      <c r="J209" s="467" t="s">
        <v>2512</v>
      </c>
      <c r="K209" s="139"/>
      <c r="L209" s="140"/>
      <c r="M209" s="165" t="s">
        <v>2712</v>
      </c>
      <c r="N209" s="165" t="s">
        <v>2713</v>
      </c>
      <c r="O209" s="134"/>
      <c r="P209" s="134"/>
      <c r="Q209" s="134"/>
      <c r="R209" s="140"/>
      <c r="S209" s="135"/>
      <c r="T209" s="135"/>
      <c r="U209" s="135"/>
      <c r="V209" s="135"/>
      <c r="W209" s="135"/>
      <c r="X209" s="135"/>
      <c r="Y209" s="135"/>
      <c r="Z209" s="135"/>
      <c r="AA209" s="135"/>
      <c r="AB209" s="135"/>
      <c r="AC209" s="135"/>
      <c r="AD209" s="135"/>
      <c r="AE209" s="135"/>
      <c r="AF209" s="135"/>
      <c r="AG209" s="135"/>
      <c r="AH209" s="135"/>
      <c r="AI209" s="135"/>
      <c r="AJ209" s="135"/>
      <c r="AK209" s="135"/>
      <c r="AL209" s="135"/>
      <c r="AM209" s="135"/>
      <c r="AN209" s="135"/>
      <c r="AO209" s="135"/>
      <c r="AP209" s="135"/>
      <c r="AQ209" s="135"/>
      <c r="AR209" s="135"/>
      <c r="AS209" s="135"/>
      <c r="AT209" s="135"/>
      <c r="AU209" s="135"/>
      <c r="AV209" s="135"/>
      <c r="AW209" s="135"/>
      <c r="AX209" s="135"/>
      <c r="AY209" s="135"/>
      <c r="AZ209" s="135"/>
      <c r="BA209" s="135"/>
      <c r="BB209" s="135"/>
      <c r="BC209" s="135"/>
      <c r="BD209" s="135"/>
      <c r="BE209" s="135"/>
      <c r="BF209" s="135"/>
      <c r="BG209" s="135"/>
      <c r="BH209" s="135"/>
      <c r="BI209" s="135"/>
      <c r="BJ209" s="135"/>
      <c r="BK209" s="135"/>
      <c r="BL209" s="135"/>
      <c r="BM209" s="135"/>
      <c r="BN209" s="135"/>
      <c r="BO209" s="135"/>
      <c r="BP209" s="135"/>
      <c r="BQ209" s="135"/>
      <c r="BR209" s="135"/>
      <c r="BS209" s="135"/>
      <c r="BT209" s="135"/>
      <c r="BU209" s="135"/>
      <c r="BV209" s="135"/>
      <c r="BW209" s="135"/>
      <c r="BX209" s="135"/>
      <c r="BY209" s="135"/>
      <c r="BZ209" s="135"/>
      <c r="CA209" s="135"/>
      <c r="CB209" s="135"/>
      <c r="CC209" s="135"/>
      <c r="CD209" s="135"/>
      <c r="CE209" s="135"/>
      <c r="CF209" s="135"/>
      <c r="CG209" s="135"/>
      <c r="CH209" s="135"/>
      <c r="CI209" s="135"/>
      <c r="CJ209" s="135"/>
      <c r="CK209" s="135"/>
      <c r="CL209" s="135"/>
      <c r="CM209" s="135"/>
      <c r="CN209" s="135"/>
      <c r="CO209" s="135"/>
      <c r="CP209" s="135"/>
      <c r="CQ209" s="135"/>
      <c r="CR209" s="135"/>
      <c r="CS209" s="135"/>
      <c r="CT209" s="135"/>
      <c r="CU209" s="135"/>
      <c r="CV209" s="135"/>
      <c r="CW209" s="135"/>
      <c r="CX209" s="135"/>
      <c r="CY209" s="135"/>
      <c r="CZ209" s="135"/>
      <c r="DA209" s="135"/>
      <c r="DB209" s="135"/>
      <c r="DC209" s="135"/>
      <c r="DD209" s="135"/>
      <c r="DE209" s="135"/>
      <c r="DF209" s="135"/>
      <c r="DG209" s="135"/>
      <c r="DH209" s="135"/>
      <c r="DI209" s="135"/>
      <c r="DJ209" s="135"/>
      <c r="DK209" s="135"/>
      <c r="DL209" s="135"/>
      <c r="DM209" s="135"/>
      <c r="DN209" s="135"/>
      <c r="DO209" s="135"/>
      <c r="DP209" s="135"/>
      <c r="DQ209" s="135"/>
      <c r="DR209" s="135"/>
      <c r="DS209" s="135"/>
      <c r="DT209" s="135"/>
      <c r="DU209" s="135"/>
      <c r="DV209" s="135"/>
      <c r="DW209" s="135"/>
      <c r="DX209" s="135"/>
      <c r="DY209" s="135"/>
      <c r="DZ209" s="135"/>
      <c r="EA209" s="135"/>
      <c r="EB209" s="135"/>
      <c r="EC209" s="135"/>
      <c r="ED209" s="135"/>
      <c r="EE209" s="135"/>
      <c r="EF209" s="135"/>
      <c r="EG209" s="135"/>
      <c r="EH209" s="135"/>
      <c r="EI209" s="135"/>
      <c r="EJ209" s="135"/>
      <c r="EK209" s="135"/>
      <c r="EL209" s="135"/>
      <c r="EM209" s="135"/>
      <c r="EN209" s="135"/>
      <c r="EO209" s="135"/>
      <c r="EP209" s="135"/>
      <c r="EQ209" s="135"/>
      <c r="ER209" s="135"/>
      <c r="ES209" s="135"/>
      <c r="ET209" s="135"/>
      <c r="EU209" s="135"/>
      <c r="EV209" s="135"/>
      <c r="EW209" s="135"/>
    </row>
    <row r="210" spans="1:153" s="141" customFormat="1" x14ac:dyDescent="0.2">
      <c r="A210" s="141" t="s">
        <v>2504</v>
      </c>
      <c r="B210" s="165" t="s">
        <v>2766</v>
      </c>
      <c r="C210" s="162" t="s">
        <v>164</v>
      </c>
      <c r="D210" s="167">
        <v>38.729999999999997</v>
      </c>
      <c r="E210" s="167">
        <v>-0.46300000000000002</v>
      </c>
      <c r="F210" s="168">
        <v>7572</v>
      </c>
      <c r="G210" s="167">
        <v>7648</v>
      </c>
      <c r="H210" s="167">
        <v>7496</v>
      </c>
      <c r="I210" s="467" t="s">
        <v>1526</v>
      </c>
      <c r="J210" s="467" t="s">
        <v>2512</v>
      </c>
      <c r="K210" s="139"/>
      <c r="L210" s="140"/>
      <c r="M210" s="165" t="s">
        <v>2764</v>
      </c>
      <c r="N210" s="165" t="s">
        <v>2765</v>
      </c>
      <c r="O210" s="134"/>
      <c r="P210" s="134"/>
      <c r="Q210" s="134"/>
      <c r="R210" s="140"/>
      <c r="S210" s="135"/>
      <c r="T210" s="135"/>
      <c r="U210" s="135"/>
      <c r="V210" s="135"/>
      <c r="W210" s="135"/>
      <c r="X210" s="135"/>
      <c r="Y210" s="135"/>
      <c r="Z210" s="135"/>
      <c r="AA210" s="135"/>
      <c r="AB210" s="135"/>
      <c r="AC210" s="135"/>
      <c r="AD210" s="135"/>
      <c r="AE210" s="135"/>
      <c r="AF210" s="135"/>
      <c r="AG210" s="135"/>
      <c r="AH210" s="135"/>
      <c r="AI210" s="135"/>
      <c r="AJ210" s="135"/>
      <c r="AK210" s="135"/>
      <c r="AL210" s="135"/>
      <c r="AM210" s="135"/>
      <c r="AN210" s="135"/>
      <c r="AO210" s="135"/>
      <c r="AP210" s="135"/>
      <c r="AQ210" s="135"/>
      <c r="AR210" s="135"/>
      <c r="AS210" s="135"/>
      <c r="AT210" s="135"/>
      <c r="AU210" s="135"/>
      <c r="AV210" s="135"/>
      <c r="AW210" s="135"/>
      <c r="AX210" s="135"/>
      <c r="AY210" s="135"/>
      <c r="AZ210" s="135"/>
      <c r="BA210" s="135"/>
      <c r="BB210" s="135"/>
      <c r="BC210" s="135"/>
      <c r="BD210" s="135"/>
      <c r="BE210" s="135"/>
      <c r="BF210" s="135"/>
      <c r="BG210" s="135"/>
      <c r="BH210" s="135"/>
      <c r="BI210" s="135"/>
      <c r="BJ210" s="135"/>
      <c r="BK210" s="135"/>
      <c r="BL210" s="135"/>
      <c r="BM210" s="135"/>
      <c r="BN210" s="135"/>
      <c r="BO210" s="135"/>
      <c r="BP210" s="135"/>
      <c r="BQ210" s="135"/>
      <c r="BR210" s="135"/>
      <c r="BS210" s="135"/>
      <c r="BT210" s="135"/>
      <c r="BU210" s="135"/>
      <c r="BV210" s="135"/>
      <c r="BW210" s="135"/>
      <c r="BX210" s="135"/>
      <c r="BY210" s="135"/>
      <c r="BZ210" s="135"/>
      <c r="CA210" s="135"/>
      <c r="CB210" s="135"/>
      <c r="CC210" s="135"/>
      <c r="CD210" s="135"/>
      <c r="CE210" s="135"/>
      <c r="CF210" s="135"/>
      <c r="CG210" s="135"/>
      <c r="CH210" s="135"/>
      <c r="CI210" s="135"/>
      <c r="CJ210" s="135"/>
      <c r="CK210" s="135"/>
      <c r="CL210" s="135"/>
      <c r="CM210" s="135"/>
      <c r="CN210" s="135"/>
      <c r="CO210" s="135"/>
      <c r="CP210" s="135"/>
      <c r="CQ210" s="135"/>
      <c r="CR210" s="135"/>
      <c r="CS210" s="135"/>
      <c r="CT210" s="135"/>
      <c r="CU210" s="135"/>
      <c r="CV210" s="135"/>
      <c r="CW210" s="135"/>
      <c r="CX210" s="135"/>
      <c r="CY210" s="135"/>
      <c r="CZ210" s="135"/>
      <c r="DA210" s="135"/>
      <c r="DB210" s="135"/>
      <c r="DC210" s="135"/>
      <c r="DD210" s="135"/>
      <c r="DE210" s="135"/>
      <c r="DF210" s="135"/>
      <c r="DG210" s="135"/>
      <c r="DH210" s="135"/>
      <c r="DI210" s="135"/>
      <c r="DJ210" s="135"/>
      <c r="DK210" s="135"/>
      <c r="DL210" s="135"/>
      <c r="DM210" s="135"/>
      <c r="DN210" s="135"/>
      <c r="DO210" s="135"/>
      <c r="DP210" s="135"/>
      <c r="DQ210" s="135"/>
      <c r="DR210" s="135"/>
      <c r="DS210" s="135"/>
      <c r="DT210" s="135"/>
      <c r="DU210" s="135"/>
      <c r="DV210" s="135"/>
      <c r="DW210" s="135"/>
      <c r="DX210" s="135"/>
      <c r="DY210" s="135"/>
      <c r="DZ210" s="135"/>
      <c r="EA210" s="135"/>
      <c r="EB210" s="135"/>
      <c r="EC210" s="135"/>
      <c r="ED210" s="135"/>
      <c r="EE210" s="135"/>
      <c r="EF210" s="135"/>
      <c r="EG210" s="135"/>
      <c r="EH210" s="135"/>
      <c r="EI210" s="135"/>
      <c r="EJ210" s="135"/>
      <c r="EK210" s="135"/>
      <c r="EL210" s="135"/>
      <c r="EM210" s="135"/>
      <c r="EN210" s="135"/>
      <c r="EO210" s="135"/>
      <c r="EP210" s="135"/>
      <c r="EQ210" s="135"/>
      <c r="ER210" s="135"/>
      <c r="ES210" s="135"/>
      <c r="ET210" s="135"/>
      <c r="EU210" s="135"/>
      <c r="EV210" s="135"/>
      <c r="EW210" s="135"/>
    </row>
    <row r="211" spans="1:153" s="141" customFormat="1" x14ac:dyDescent="0.2">
      <c r="A211" s="141" t="s">
        <v>2504</v>
      </c>
      <c r="B211" s="165" t="s">
        <v>2714</v>
      </c>
      <c r="C211" s="162" t="s">
        <v>164</v>
      </c>
      <c r="D211" s="167">
        <v>43.404000000000003</v>
      </c>
      <c r="E211" s="167">
        <v>-4.7069999999999999</v>
      </c>
      <c r="F211" s="168">
        <v>5927.5</v>
      </c>
      <c r="G211" s="167">
        <v>6016</v>
      </c>
      <c r="H211" s="167">
        <v>5839</v>
      </c>
      <c r="I211" s="467" t="s">
        <v>1912</v>
      </c>
      <c r="J211" s="463" t="s">
        <v>69</v>
      </c>
      <c r="K211" s="139"/>
      <c r="L211" s="140"/>
      <c r="M211" s="165" t="s">
        <v>2791</v>
      </c>
      <c r="N211" s="165" t="s">
        <v>2792</v>
      </c>
      <c r="O211" s="134"/>
      <c r="P211" s="134"/>
      <c r="Q211" s="134"/>
      <c r="R211" s="140"/>
      <c r="S211" s="135"/>
      <c r="T211" s="135"/>
      <c r="U211" s="135"/>
      <c r="V211" s="135"/>
      <c r="W211" s="135"/>
      <c r="X211" s="135"/>
      <c r="Y211" s="135"/>
      <c r="Z211" s="135"/>
      <c r="AA211" s="135"/>
      <c r="AB211" s="135"/>
      <c r="AC211" s="135"/>
      <c r="AD211" s="135"/>
      <c r="AE211" s="135"/>
      <c r="AF211" s="135"/>
      <c r="AG211" s="135"/>
      <c r="AH211" s="135"/>
      <c r="AI211" s="135"/>
      <c r="AJ211" s="135"/>
      <c r="AK211" s="135"/>
      <c r="AL211" s="135"/>
      <c r="AM211" s="135"/>
      <c r="AN211" s="135"/>
      <c r="AO211" s="135"/>
      <c r="AP211" s="135"/>
      <c r="AQ211" s="135"/>
      <c r="AR211" s="135"/>
      <c r="AS211" s="135"/>
      <c r="AT211" s="135"/>
      <c r="AU211" s="135"/>
      <c r="AV211" s="135"/>
      <c r="AW211" s="135"/>
      <c r="AX211" s="135"/>
      <c r="AY211" s="135"/>
      <c r="AZ211" s="135"/>
      <c r="BA211" s="135"/>
      <c r="BB211" s="135"/>
      <c r="BC211" s="135"/>
      <c r="BD211" s="135"/>
      <c r="BE211" s="135"/>
      <c r="BF211" s="135"/>
      <c r="BG211" s="135"/>
      <c r="BH211" s="135"/>
      <c r="BI211" s="135"/>
      <c r="BJ211" s="135"/>
      <c r="BK211" s="135"/>
      <c r="BL211" s="135"/>
      <c r="BM211" s="135"/>
      <c r="BN211" s="135"/>
      <c r="BO211" s="135"/>
      <c r="BP211" s="135"/>
      <c r="BQ211" s="135"/>
      <c r="BR211" s="135"/>
      <c r="BS211" s="135"/>
      <c r="BT211" s="135"/>
      <c r="BU211" s="135"/>
      <c r="BV211" s="135"/>
      <c r="BW211" s="135"/>
      <c r="BX211" s="135"/>
      <c r="BY211" s="135"/>
      <c r="BZ211" s="135"/>
      <c r="CA211" s="135"/>
      <c r="CB211" s="135"/>
      <c r="CC211" s="135"/>
      <c r="CD211" s="135"/>
      <c r="CE211" s="135"/>
      <c r="CF211" s="135"/>
      <c r="CG211" s="135"/>
      <c r="CH211" s="135"/>
      <c r="CI211" s="135"/>
      <c r="CJ211" s="135"/>
      <c r="CK211" s="135"/>
      <c r="CL211" s="135"/>
      <c r="CM211" s="135"/>
      <c r="CN211" s="135"/>
      <c r="CO211" s="135"/>
      <c r="CP211" s="135"/>
      <c r="CQ211" s="135"/>
      <c r="CR211" s="135"/>
      <c r="CS211" s="135"/>
      <c r="CT211" s="135"/>
      <c r="CU211" s="135"/>
      <c r="CV211" s="135"/>
      <c r="CW211" s="135"/>
      <c r="CX211" s="135"/>
      <c r="CY211" s="135"/>
      <c r="CZ211" s="135"/>
      <c r="DA211" s="135"/>
      <c r="DB211" s="135"/>
      <c r="DC211" s="135"/>
      <c r="DD211" s="135"/>
      <c r="DE211" s="135"/>
      <c r="DF211" s="135"/>
      <c r="DG211" s="135"/>
      <c r="DH211" s="135"/>
      <c r="DI211" s="135"/>
      <c r="DJ211" s="135"/>
      <c r="DK211" s="135"/>
      <c r="DL211" s="135"/>
      <c r="DM211" s="135"/>
      <c r="DN211" s="135"/>
      <c r="DO211" s="135"/>
      <c r="DP211" s="135"/>
      <c r="DQ211" s="135"/>
      <c r="DR211" s="135"/>
      <c r="DS211" s="135"/>
      <c r="DT211" s="135"/>
      <c r="DU211" s="135"/>
      <c r="DV211" s="135"/>
      <c r="DW211" s="135"/>
      <c r="DX211" s="135"/>
      <c r="DY211" s="135"/>
      <c r="DZ211" s="135"/>
      <c r="EA211" s="135"/>
      <c r="EB211" s="135"/>
      <c r="EC211" s="135"/>
      <c r="ED211" s="135"/>
      <c r="EE211" s="135"/>
      <c r="EF211" s="135"/>
      <c r="EG211" s="135"/>
      <c r="EH211" s="135"/>
      <c r="EI211" s="135"/>
      <c r="EJ211" s="135"/>
      <c r="EK211" s="135"/>
      <c r="EL211" s="135"/>
      <c r="EM211" s="135"/>
      <c r="EN211" s="135"/>
      <c r="EO211" s="135"/>
      <c r="EP211" s="135"/>
      <c r="EQ211" s="135"/>
      <c r="ER211" s="135"/>
      <c r="ES211" s="135"/>
      <c r="ET211" s="135"/>
      <c r="EU211" s="135"/>
      <c r="EV211" s="135"/>
      <c r="EW211" s="135"/>
    </row>
    <row r="212" spans="1:153" s="141" customFormat="1" x14ac:dyDescent="0.2">
      <c r="A212" s="141" t="s">
        <v>1612</v>
      </c>
      <c r="B212" s="134" t="s">
        <v>1990</v>
      </c>
      <c r="C212" s="135" t="s">
        <v>282</v>
      </c>
      <c r="D212" s="136">
        <v>58.534894000000001</v>
      </c>
      <c r="E212" s="136">
        <v>15.045794000000001</v>
      </c>
      <c r="F212" s="137">
        <f t="shared" ref="F212:F266" si="9">(G212+H212)/2</f>
        <v>5877.5</v>
      </c>
      <c r="G212" s="138">
        <v>6016</v>
      </c>
      <c r="H212" s="138">
        <v>5739</v>
      </c>
      <c r="I212" s="869" t="s">
        <v>69</v>
      </c>
      <c r="J212" s="463" t="s">
        <v>69</v>
      </c>
      <c r="K212" s="139" t="s">
        <v>1696</v>
      </c>
      <c r="L212" s="140" t="s">
        <v>69</v>
      </c>
      <c r="M212" s="141" t="s">
        <v>1991</v>
      </c>
      <c r="N212" s="134" t="s">
        <v>69</v>
      </c>
      <c r="O212" s="134" t="s">
        <v>69</v>
      </c>
      <c r="P212" s="134" t="s">
        <v>69</v>
      </c>
      <c r="Q212" s="134" t="s">
        <v>69</v>
      </c>
      <c r="R212" s="140"/>
      <c r="S212" s="135"/>
      <c r="T212" s="135"/>
      <c r="V212" s="149"/>
      <c r="Y212" s="134"/>
      <c r="Z212" s="134"/>
    </row>
    <row r="213" spans="1:153" s="141" customFormat="1" x14ac:dyDescent="0.2">
      <c r="A213" s="141" t="s">
        <v>1612</v>
      </c>
      <c r="B213" s="134" t="s">
        <v>1990</v>
      </c>
      <c r="C213" s="135" t="s">
        <v>282</v>
      </c>
      <c r="D213" s="136">
        <v>58.534894000000001</v>
      </c>
      <c r="E213" s="136">
        <v>15.045794000000001</v>
      </c>
      <c r="F213" s="137">
        <f t="shared" si="9"/>
        <v>5861</v>
      </c>
      <c r="G213" s="138">
        <v>5971</v>
      </c>
      <c r="H213" s="138">
        <v>5751</v>
      </c>
      <c r="I213" s="869" t="s">
        <v>69</v>
      </c>
      <c r="J213" s="463" t="s">
        <v>69</v>
      </c>
      <c r="K213" s="139" t="s">
        <v>1696</v>
      </c>
      <c r="L213" s="140" t="s">
        <v>69</v>
      </c>
      <c r="M213" s="141" t="s">
        <v>1992</v>
      </c>
      <c r="N213" s="134" t="s">
        <v>69</v>
      </c>
      <c r="O213" s="134" t="s">
        <v>69</v>
      </c>
      <c r="P213" s="134" t="s">
        <v>69</v>
      </c>
      <c r="Q213" s="134" t="s">
        <v>69</v>
      </c>
      <c r="R213" s="140"/>
      <c r="S213" s="135"/>
      <c r="T213" s="135"/>
      <c r="V213" s="149"/>
      <c r="Y213" s="134"/>
      <c r="Z213" s="134"/>
    </row>
    <row r="214" spans="1:153" s="141" customFormat="1" x14ac:dyDescent="0.2">
      <c r="A214" s="141" t="s">
        <v>1612</v>
      </c>
      <c r="B214" s="134" t="s">
        <v>1990</v>
      </c>
      <c r="C214" s="135" t="s">
        <v>282</v>
      </c>
      <c r="D214" s="136">
        <v>58.534894000000001</v>
      </c>
      <c r="E214" s="136">
        <v>15.045794000000001</v>
      </c>
      <c r="F214" s="137">
        <f t="shared" si="9"/>
        <v>5671</v>
      </c>
      <c r="G214" s="138">
        <v>5716</v>
      </c>
      <c r="H214" s="138">
        <v>5626</v>
      </c>
      <c r="I214" s="869" t="s">
        <v>69</v>
      </c>
      <c r="J214" s="463" t="s">
        <v>69</v>
      </c>
      <c r="K214" s="139" t="s">
        <v>1696</v>
      </c>
      <c r="L214" s="140" t="s">
        <v>69</v>
      </c>
      <c r="M214" s="141" t="s">
        <v>1993</v>
      </c>
      <c r="N214" s="134" t="s">
        <v>69</v>
      </c>
      <c r="O214" s="134" t="s">
        <v>69</v>
      </c>
      <c r="P214" s="134" t="s">
        <v>69</v>
      </c>
      <c r="Q214" s="134" t="s">
        <v>69</v>
      </c>
      <c r="R214" s="140"/>
      <c r="S214" s="135"/>
      <c r="T214" s="135"/>
      <c r="V214" s="149"/>
      <c r="Y214" s="134"/>
      <c r="Z214" s="134"/>
    </row>
    <row r="215" spans="1:153" s="141" customFormat="1" x14ac:dyDescent="0.2">
      <c r="A215" s="141" t="s">
        <v>1612</v>
      </c>
      <c r="B215" s="134" t="s">
        <v>1990</v>
      </c>
      <c r="C215" s="135" t="s">
        <v>282</v>
      </c>
      <c r="D215" s="136">
        <v>58.534894000000001</v>
      </c>
      <c r="E215" s="136">
        <v>15.045794000000001</v>
      </c>
      <c r="F215" s="137">
        <f t="shared" si="9"/>
        <v>5675</v>
      </c>
      <c r="G215" s="138">
        <v>5719</v>
      </c>
      <c r="H215" s="138">
        <v>5631</v>
      </c>
      <c r="I215" s="869" t="s">
        <v>69</v>
      </c>
      <c r="J215" s="463" t="s">
        <v>69</v>
      </c>
      <c r="K215" s="139" t="s">
        <v>1696</v>
      </c>
      <c r="L215" s="140" t="s">
        <v>69</v>
      </c>
      <c r="M215" s="141" t="s">
        <v>1994</v>
      </c>
      <c r="N215" s="134" t="s">
        <v>69</v>
      </c>
      <c r="O215" s="134" t="s">
        <v>69</v>
      </c>
      <c r="P215" s="134" t="s">
        <v>69</v>
      </c>
      <c r="Q215" s="134" t="s">
        <v>69</v>
      </c>
      <c r="R215" s="140"/>
      <c r="S215" s="135"/>
      <c r="T215" s="135"/>
      <c r="V215" s="149"/>
      <c r="Y215" s="134"/>
      <c r="Z215" s="134"/>
    </row>
    <row r="216" spans="1:153" s="141" customFormat="1" x14ac:dyDescent="0.2">
      <c r="A216" s="141" t="s">
        <v>1612</v>
      </c>
      <c r="B216" s="134" t="s">
        <v>1990</v>
      </c>
      <c r="C216" s="135" t="s">
        <v>282</v>
      </c>
      <c r="D216" s="136">
        <v>58.534894000000001</v>
      </c>
      <c r="E216" s="136">
        <v>15.045794000000001</v>
      </c>
      <c r="F216" s="137">
        <f t="shared" si="9"/>
        <v>5781</v>
      </c>
      <c r="G216" s="138">
        <v>5844</v>
      </c>
      <c r="H216" s="138">
        <v>5718</v>
      </c>
      <c r="I216" s="869" t="s">
        <v>69</v>
      </c>
      <c r="J216" s="463" t="s">
        <v>69</v>
      </c>
      <c r="K216" s="139" t="s">
        <v>1696</v>
      </c>
      <c r="L216" s="140" t="s">
        <v>69</v>
      </c>
      <c r="M216" s="141" t="s">
        <v>1995</v>
      </c>
      <c r="N216" s="134" t="s">
        <v>69</v>
      </c>
      <c r="O216" s="134" t="s">
        <v>69</v>
      </c>
      <c r="P216" s="134" t="s">
        <v>69</v>
      </c>
      <c r="Q216" s="134" t="s">
        <v>69</v>
      </c>
      <c r="R216" s="140"/>
      <c r="S216" s="135"/>
      <c r="T216" s="135"/>
      <c r="V216" s="149"/>
      <c r="Y216" s="134"/>
      <c r="Z216" s="134"/>
    </row>
    <row r="217" spans="1:153" s="141" customFormat="1" x14ac:dyDescent="0.2">
      <c r="A217" s="141" t="s">
        <v>1612</v>
      </c>
      <c r="B217" s="134" t="s">
        <v>1990</v>
      </c>
      <c r="C217" s="135" t="s">
        <v>282</v>
      </c>
      <c r="D217" s="136">
        <v>58.534894000000001</v>
      </c>
      <c r="E217" s="136">
        <v>15.045794000000001</v>
      </c>
      <c r="F217" s="137">
        <f t="shared" si="9"/>
        <v>5643</v>
      </c>
      <c r="G217" s="138">
        <v>5722</v>
      </c>
      <c r="H217" s="138">
        <v>5564</v>
      </c>
      <c r="I217" s="869" t="s">
        <v>69</v>
      </c>
      <c r="J217" s="463" t="s">
        <v>69</v>
      </c>
      <c r="K217" s="139" t="s">
        <v>1696</v>
      </c>
      <c r="L217" s="140" t="s">
        <v>2</v>
      </c>
      <c r="M217" s="141" t="s">
        <v>1996</v>
      </c>
      <c r="N217" s="134" t="s">
        <v>69</v>
      </c>
      <c r="O217" s="134" t="s">
        <v>69</v>
      </c>
      <c r="P217" s="134" t="s">
        <v>69</v>
      </c>
      <c r="Q217" s="134" t="s">
        <v>69</v>
      </c>
      <c r="R217" s="140"/>
      <c r="S217" s="135"/>
      <c r="T217" s="135"/>
      <c r="V217" s="149"/>
      <c r="Y217" s="134"/>
      <c r="Z217" s="134"/>
    </row>
    <row r="218" spans="1:153" s="141" customFormat="1" x14ac:dyDescent="0.2">
      <c r="A218" s="141" t="s">
        <v>1997</v>
      </c>
      <c r="B218" s="134" t="s">
        <v>1998</v>
      </c>
      <c r="C218" s="135" t="s">
        <v>282</v>
      </c>
      <c r="D218" s="136">
        <v>57.26</v>
      </c>
      <c r="E218" s="136">
        <v>18.09</v>
      </c>
      <c r="F218" s="137">
        <f t="shared" si="9"/>
        <v>2750</v>
      </c>
      <c r="G218" s="138">
        <f t="shared" ref="G218:G229" si="10">5000-1950</f>
        <v>3050</v>
      </c>
      <c r="H218" s="138">
        <f t="shared" ref="H218:H229" si="11">4400-1950</f>
        <v>2450</v>
      </c>
      <c r="I218" s="463" t="s">
        <v>1999</v>
      </c>
      <c r="J218" s="463" t="s">
        <v>69</v>
      </c>
      <c r="K218" s="139" t="s">
        <v>2000</v>
      </c>
      <c r="L218" s="140" t="s">
        <v>69</v>
      </c>
      <c r="M218" s="141" t="s">
        <v>2001</v>
      </c>
      <c r="N218" s="134" t="s">
        <v>69</v>
      </c>
      <c r="O218" s="134" t="s">
        <v>69</v>
      </c>
      <c r="P218" s="134" t="s">
        <v>69</v>
      </c>
      <c r="Q218" s="134" t="s">
        <v>69</v>
      </c>
      <c r="R218" s="140"/>
      <c r="S218" s="135"/>
      <c r="T218" s="135"/>
      <c r="V218" s="149"/>
      <c r="Y218" s="134"/>
      <c r="Z218" s="134"/>
    </row>
    <row r="219" spans="1:153" s="141" customFormat="1" x14ac:dyDescent="0.2">
      <c r="A219" s="141" t="s">
        <v>1997</v>
      </c>
      <c r="B219" s="134" t="s">
        <v>1998</v>
      </c>
      <c r="C219" s="135" t="s">
        <v>282</v>
      </c>
      <c r="D219" s="136">
        <v>57.26</v>
      </c>
      <c r="E219" s="136">
        <v>18.09</v>
      </c>
      <c r="F219" s="137">
        <f t="shared" si="9"/>
        <v>2750</v>
      </c>
      <c r="G219" s="138">
        <f t="shared" si="10"/>
        <v>3050</v>
      </c>
      <c r="H219" s="138">
        <f t="shared" si="11"/>
        <v>2450</v>
      </c>
      <c r="I219" s="463" t="s">
        <v>1999</v>
      </c>
      <c r="J219" s="463" t="s">
        <v>69</v>
      </c>
      <c r="K219" s="139" t="s">
        <v>2000</v>
      </c>
      <c r="L219" s="140" t="s">
        <v>69</v>
      </c>
      <c r="M219" s="141" t="s">
        <v>2002</v>
      </c>
      <c r="N219" s="134" t="s">
        <v>69</v>
      </c>
      <c r="O219" s="134" t="s">
        <v>69</v>
      </c>
      <c r="P219" s="134" t="s">
        <v>69</v>
      </c>
      <c r="Q219" s="134" t="s">
        <v>69</v>
      </c>
      <c r="R219" s="140"/>
      <c r="S219" s="135"/>
      <c r="T219" s="135"/>
      <c r="V219" s="149"/>
      <c r="Y219" s="134"/>
      <c r="Z219" s="134"/>
    </row>
    <row r="220" spans="1:153" s="141" customFormat="1" x14ac:dyDescent="0.2">
      <c r="A220" s="141" t="s">
        <v>1997</v>
      </c>
      <c r="B220" s="134" t="s">
        <v>1998</v>
      </c>
      <c r="C220" s="135" t="s">
        <v>282</v>
      </c>
      <c r="D220" s="136">
        <v>57.26</v>
      </c>
      <c r="E220" s="136">
        <v>18.09</v>
      </c>
      <c r="F220" s="137">
        <f t="shared" si="9"/>
        <v>2750</v>
      </c>
      <c r="G220" s="138">
        <f t="shared" si="10"/>
        <v>3050</v>
      </c>
      <c r="H220" s="138">
        <f t="shared" si="11"/>
        <v>2450</v>
      </c>
      <c r="I220" s="463" t="s">
        <v>4</v>
      </c>
      <c r="J220" s="463" t="s">
        <v>69</v>
      </c>
      <c r="K220" s="139" t="s">
        <v>2000</v>
      </c>
      <c r="L220" s="140" t="s">
        <v>69</v>
      </c>
      <c r="M220" s="141" t="s">
        <v>2003</v>
      </c>
      <c r="N220" s="134" t="s">
        <v>69</v>
      </c>
      <c r="O220" s="134" t="s">
        <v>69</v>
      </c>
      <c r="P220" s="134" t="s">
        <v>69</v>
      </c>
      <c r="Q220" s="134" t="s">
        <v>69</v>
      </c>
      <c r="R220" s="140"/>
      <c r="S220" s="135"/>
      <c r="T220" s="135"/>
      <c r="V220" s="149"/>
      <c r="Y220" s="134"/>
      <c r="Z220" s="134"/>
    </row>
    <row r="221" spans="1:153" s="141" customFormat="1" x14ac:dyDescent="0.2">
      <c r="A221" s="141" t="s">
        <v>382</v>
      </c>
      <c r="B221" s="134" t="s">
        <v>1998</v>
      </c>
      <c r="C221" s="135" t="s">
        <v>282</v>
      </c>
      <c r="D221" s="136">
        <v>57.26</v>
      </c>
      <c r="E221" s="136">
        <v>18.09</v>
      </c>
      <c r="F221" s="137">
        <f t="shared" si="9"/>
        <v>2750</v>
      </c>
      <c r="G221" s="138">
        <f t="shared" si="10"/>
        <v>3050</v>
      </c>
      <c r="H221" s="138">
        <f t="shared" si="11"/>
        <v>2450</v>
      </c>
      <c r="I221" s="463" t="s">
        <v>4</v>
      </c>
      <c r="J221" s="463" t="s">
        <v>69</v>
      </c>
      <c r="K221" s="139" t="s">
        <v>2000</v>
      </c>
      <c r="L221" s="140" t="s">
        <v>69</v>
      </c>
      <c r="M221" s="141" t="s">
        <v>2004</v>
      </c>
      <c r="N221" s="134" t="s">
        <v>69</v>
      </c>
      <c r="O221" s="134" t="s">
        <v>69</v>
      </c>
      <c r="P221" s="134" t="s">
        <v>69</v>
      </c>
      <c r="Q221" s="134" t="s">
        <v>69</v>
      </c>
      <c r="R221" s="140"/>
      <c r="S221" s="135"/>
      <c r="T221" s="135"/>
      <c r="V221" s="149"/>
      <c r="Y221" s="134"/>
      <c r="Z221" s="134"/>
    </row>
    <row r="222" spans="1:153" s="141" customFormat="1" x14ac:dyDescent="0.2">
      <c r="A222" s="141" t="s">
        <v>1997</v>
      </c>
      <c r="B222" s="134" t="s">
        <v>2005</v>
      </c>
      <c r="C222" s="135" t="s">
        <v>282</v>
      </c>
      <c r="D222" s="136">
        <v>57.84</v>
      </c>
      <c r="E222" s="136">
        <v>18.600000000000001</v>
      </c>
      <c r="F222" s="137">
        <f t="shared" si="9"/>
        <v>2750</v>
      </c>
      <c r="G222" s="138">
        <f t="shared" si="10"/>
        <v>3050</v>
      </c>
      <c r="H222" s="138">
        <f t="shared" si="11"/>
        <v>2450</v>
      </c>
      <c r="I222" s="466" t="s">
        <v>4296</v>
      </c>
      <c r="J222" s="463" t="s">
        <v>69</v>
      </c>
      <c r="K222" s="139" t="s">
        <v>2000</v>
      </c>
      <c r="L222" s="140" t="s">
        <v>69</v>
      </c>
      <c r="M222" s="141" t="s">
        <v>2006</v>
      </c>
      <c r="N222" s="134" t="s">
        <v>69</v>
      </c>
      <c r="O222" s="134" t="s">
        <v>69</v>
      </c>
      <c r="P222" s="134" t="s">
        <v>69</v>
      </c>
      <c r="Q222" s="134" t="s">
        <v>69</v>
      </c>
      <c r="R222" s="478" t="s">
        <v>4295</v>
      </c>
      <c r="T222" s="135"/>
      <c r="V222" s="149"/>
      <c r="Y222" s="134"/>
      <c r="Z222" s="134"/>
    </row>
    <row r="223" spans="1:153" s="141" customFormat="1" x14ac:dyDescent="0.2">
      <c r="A223" s="141" t="s">
        <v>382</v>
      </c>
      <c r="B223" s="134" t="s">
        <v>2007</v>
      </c>
      <c r="C223" s="135" t="s">
        <v>282</v>
      </c>
      <c r="D223" s="136" t="s">
        <v>69</v>
      </c>
      <c r="E223" s="136" t="s">
        <v>69</v>
      </c>
      <c r="F223" s="137">
        <f t="shared" si="9"/>
        <v>2750</v>
      </c>
      <c r="G223" s="138">
        <f t="shared" si="10"/>
        <v>3050</v>
      </c>
      <c r="H223" s="138">
        <f t="shared" si="11"/>
        <v>2450</v>
      </c>
      <c r="I223" s="466" t="s">
        <v>4296</v>
      </c>
      <c r="J223" s="463" t="s">
        <v>69</v>
      </c>
      <c r="K223" s="139" t="s">
        <v>2000</v>
      </c>
      <c r="L223" s="140" t="s">
        <v>69</v>
      </c>
      <c r="M223" s="141" t="s">
        <v>2008</v>
      </c>
      <c r="N223" s="134" t="s">
        <v>69</v>
      </c>
      <c r="O223" s="134" t="s">
        <v>69</v>
      </c>
      <c r="P223" s="134" t="s">
        <v>69</v>
      </c>
      <c r="Q223" s="134" t="s">
        <v>69</v>
      </c>
      <c r="R223" s="478" t="s">
        <v>4295</v>
      </c>
      <c r="S223" s="135"/>
      <c r="T223" s="135"/>
      <c r="V223" s="149"/>
      <c r="Y223" s="134"/>
      <c r="Z223" s="134"/>
    </row>
    <row r="224" spans="1:153" s="141" customFormat="1" x14ac:dyDescent="0.2">
      <c r="A224" s="141" t="s">
        <v>382</v>
      </c>
      <c r="B224" s="134" t="s">
        <v>2009</v>
      </c>
      <c r="C224" s="135" t="s">
        <v>282</v>
      </c>
      <c r="D224" s="136">
        <v>57.63</v>
      </c>
      <c r="E224" s="136">
        <v>18.29</v>
      </c>
      <c r="F224" s="137">
        <f t="shared" si="9"/>
        <v>2750</v>
      </c>
      <c r="G224" s="138">
        <f t="shared" si="10"/>
        <v>3050</v>
      </c>
      <c r="H224" s="138">
        <f t="shared" si="11"/>
        <v>2450</v>
      </c>
      <c r="I224" s="466" t="s">
        <v>4296</v>
      </c>
      <c r="J224" s="463" t="s">
        <v>69</v>
      </c>
      <c r="K224" s="139" t="s">
        <v>2000</v>
      </c>
      <c r="L224" s="140" t="s">
        <v>69</v>
      </c>
      <c r="M224" s="141" t="s">
        <v>2010</v>
      </c>
      <c r="N224" s="134" t="s">
        <v>69</v>
      </c>
      <c r="O224" s="134" t="s">
        <v>69</v>
      </c>
      <c r="P224" s="134" t="s">
        <v>69</v>
      </c>
      <c r="Q224" s="134" t="s">
        <v>69</v>
      </c>
      <c r="R224" s="478" t="s">
        <v>4295</v>
      </c>
      <c r="S224" s="135"/>
      <c r="T224" s="135"/>
      <c r="V224" s="149"/>
      <c r="Y224" s="134"/>
      <c r="Z224" s="134"/>
    </row>
    <row r="225" spans="1:26" s="141" customFormat="1" x14ac:dyDescent="0.2">
      <c r="A225" s="141" t="s">
        <v>2017</v>
      </c>
      <c r="B225" s="134" t="s">
        <v>2012</v>
      </c>
      <c r="C225" s="135" t="s">
        <v>282</v>
      </c>
      <c r="D225" s="136" t="s">
        <v>69</v>
      </c>
      <c r="E225" s="136" t="s">
        <v>69</v>
      </c>
      <c r="F225" s="137">
        <f>(G225+H225)/2</f>
        <v>3075</v>
      </c>
      <c r="G225" s="138">
        <f t="shared" ref="G225:G228" si="12">5200-1950</f>
        <v>3250</v>
      </c>
      <c r="H225" s="138">
        <f t="shared" ref="H225:H228" si="13">4850-1950</f>
        <v>2900</v>
      </c>
      <c r="I225" s="466" t="s">
        <v>4296</v>
      </c>
      <c r="J225" s="463" t="s">
        <v>69</v>
      </c>
      <c r="K225" s="139" t="s">
        <v>2000</v>
      </c>
      <c r="L225" s="140" t="s">
        <v>69</v>
      </c>
      <c r="M225" s="134" t="s">
        <v>2018</v>
      </c>
      <c r="N225" s="134" t="s">
        <v>69</v>
      </c>
      <c r="O225" s="134" t="s">
        <v>69</v>
      </c>
      <c r="P225" s="134" t="s">
        <v>69</v>
      </c>
      <c r="Q225" s="134" t="s">
        <v>69</v>
      </c>
      <c r="R225" s="478" t="s">
        <v>4295</v>
      </c>
      <c r="S225" s="135"/>
      <c r="T225" s="135"/>
      <c r="V225" s="149"/>
      <c r="Y225" s="134"/>
      <c r="Z225" s="134"/>
    </row>
    <row r="226" spans="1:26" s="141" customFormat="1" x14ac:dyDescent="0.2">
      <c r="A226" s="141" t="s">
        <v>2011</v>
      </c>
      <c r="B226" s="134" t="s">
        <v>2012</v>
      </c>
      <c r="C226" s="135" t="s">
        <v>282</v>
      </c>
      <c r="D226" s="136" t="s">
        <v>69</v>
      </c>
      <c r="E226" s="136" t="s">
        <v>69</v>
      </c>
      <c r="F226" s="137">
        <f t="shared" si="9"/>
        <v>3075</v>
      </c>
      <c r="G226" s="138">
        <f>5200-1950</f>
        <v>3250</v>
      </c>
      <c r="H226" s="138">
        <f>4850-1950</f>
        <v>2900</v>
      </c>
      <c r="I226" s="470" t="s">
        <v>7</v>
      </c>
      <c r="J226" s="463" t="s">
        <v>69</v>
      </c>
      <c r="K226" s="139" t="s">
        <v>2000</v>
      </c>
      <c r="L226" s="140" t="s">
        <v>69</v>
      </c>
      <c r="M226" s="134" t="s">
        <v>2013</v>
      </c>
      <c r="N226" s="134" t="s">
        <v>69</v>
      </c>
      <c r="O226" s="134" t="s">
        <v>69</v>
      </c>
      <c r="P226" s="134" t="s">
        <v>69</v>
      </c>
      <c r="Q226" s="134" t="s">
        <v>69</v>
      </c>
      <c r="R226" s="140"/>
      <c r="S226" s="135"/>
      <c r="T226" s="135"/>
      <c r="V226" s="149"/>
      <c r="Y226" s="134"/>
      <c r="Z226" s="134"/>
    </row>
    <row r="227" spans="1:26" s="141" customFormat="1" x14ac:dyDescent="0.2">
      <c r="A227" s="141" t="s">
        <v>2014</v>
      </c>
      <c r="B227" s="134" t="s">
        <v>2012</v>
      </c>
      <c r="C227" s="135" t="s">
        <v>282</v>
      </c>
      <c r="D227" s="136" t="s">
        <v>69</v>
      </c>
      <c r="E227" s="136" t="s">
        <v>69</v>
      </c>
      <c r="F227" s="137">
        <f t="shared" si="9"/>
        <v>3075</v>
      </c>
      <c r="G227" s="138">
        <f t="shared" si="12"/>
        <v>3250</v>
      </c>
      <c r="H227" s="138">
        <f t="shared" si="13"/>
        <v>2900</v>
      </c>
      <c r="I227" s="470" t="s">
        <v>2015</v>
      </c>
      <c r="J227" s="463" t="s">
        <v>69</v>
      </c>
      <c r="K227" s="139" t="s">
        <v>2000</v>
      </c>
      <c r="L227" s="140" t="s">
        <v>69</v>
      </c>
      <c r="M227" s="134" t="s">
        <v>2016</v>
      </c>
      <c r="N227" s="134" t="s">
        <v>69</v>
      </c>
      <c r="O227" s="134" t="s">
        <v>69</v>
      </c>
      <c r="P227" s="134" t="s">
        <v>69</v>
      </c>
      <c r="Q227" s="134" t="s">
        <v>69</v>
      </c>
      <c r="R227" s="140"/>
      <c r="S227" s="135"/>
      <c r="T227" s="135"/>
      <c r="V227" s="149"/>
      <c r="Y227" s="134"/>
      <c r="Z227" s="134"/>
    </row>
    <row r="228" spans="1:26" s="141" customFormat="1" x14ac:dyDescent="0.2">
      <c r="A228" s="141" t="s">
        <v>869</v>
      </c>
      <c r="B228" s="134" t="s">
        <v>2012</v>
      </c>
      <c r="C228" s="135" t="s">
        <v>282</v>
      </c>
      <c r="D228" s="136" t="s">
        <v>69</v>
      </c>
      <c r="E228" s="136" t="s">
        <v>69</v>
      </c>
      <c r="F228" s="137">
        <f t="shared" si="9"/>
        <v>3075</v>
      </c>
      <c r="G228" s="138">
        <f t="shared" si="12"/>
        <v>3250</v>
      </c>
      <c r="H228" s="138">
        <f t="shared" si="13"/>
        <v>2900</v>
      </c>
      <c r="I228" s="470" t="s">
        <v>1579</v>
      </c>
      <c r="J228" s="463" t="s">
        <v>69</v>
      </c>
      <c r="K228" s="139" t="s">
        <v>2000</v>
      </c>
      <c r="L228" s="140" t="s">
        <v>69</v>
      </c>
      <c r="M228" s="134" t="s">
        <v>2019</v>
      </c>
      <c r="N228" s="134" t="s">
        <v>69</v>
      </c>
      <c r="O228" s="134" t="s">
        <v>69</v>
      </c>
      <c r="P228" s="134" t="s">
        <v>69</v>
      </c>
      <c r="Q228" s="134" t="s">
        <v>69</v>
      </c>
      <c r="R228" s="140"/>
      <c r="S228" s="135"/>
      <c r="T228" s="135"/>
      <c r="V228" s="149"/>
      <c r="Y228" s="134"/>
      <c r="Z228" s="134"/>
    </row>
    <row r="229" spans="1:26" s="141" customFormat="1" x14ac:dyDescent="0.2">
      <c r="A229" s="141" t="s">
        <v>1997</v>
      </c>
      <c r="B229" s="134" t="s">
        <v>2005</v>
      </c>
      <c r="C229" s="135" t="s">
        <v>282</v>
      </c>
      <c r="D229" s="136">
        <v>57.84</v>
      </c>
      <c r="E229" s="136">
        <v>18.600000000000001</v>
      </c>
      <c r="F229" s="137">
        <f t="shared" si="9"/>
        <v>2750</v>
      </c>
      <c r="G229" s="138">
        <f t="shared" si="10"/>
        <v>3050</v>
      </c>
      <c r="H229" s="138">
        <f t="shared" si="11"/>
        <v>2450</v>
      </c>
      <c r="I229" s="463" t="s">
        <v>7</v>
      </c>
      <c r="J229" s="463" t="s">
        <v>69</v>
      </c>
      <c r="K229" s="139" t="s">
        <v>2000</v>
      </c>
      <c r="L229" s="140" t="s">
        <v>69</v>
      </c>
      <c r="M229" s="141" t="s">
        <v>2020</v>
      </c>
      <c r="N229" s="134" t="s">
        <v>69</v>
      </c>
      <c r="O229" s="134" t="s">
        <v>69</v>
      </c>
      <c r="P229" s="134" t="s">
        <v>69</v>
      </c>
      <c r="Q229" s="134" t="s">
        <v>69</v>
      </c>
      <c r="R229" s="140"/>
      <c r="S229" s="135"/>
      <c r="T229" s="135"/>
      <c r="V229" s="149"/>
      <c r="Y229" s="134"/>
      <c r="Z229" s="134"/>
    </row>
    <row r="230" spans="1:26" s="141" customFormat="1" x14ac:dyDescent="0.2">
      <c r="A230" s="141" t="s">
        <v>1741</v>
      </c>
      <c r="B230" s="134" t="s">
        <v>1990</v>
      </c>
      <c r="C230" s="135" t="s">
        <v>282</v>
      </c>
      <c r="D230" s="136">
        <v>58.534894000000001</v>
      </c>
      <c r="E230" s="136">
        <v>15.045794000000001</v>
      </c>
      <c r="F230" s="137">
        <f t="shared" si="9"/>
        <v>5644.5</v>
      </c>
      <c r="G230" s="138">
        <v>5714</v>
      </c>
      <c r="H230" s="138">
        <v>5575</v>
      </c>
      <c r="I230" s="463" t="s">
        <v>1344</v>
      </c>
      <c r="J230" s="463" t="s">
        <v>320</v>
      </c>
      <c r="K230" s="139" t="s">
        <v>2021</v>
      </c>
      <c r="L230" s="140" t="s">
        <v>14</v>
      </c>
      <c r="M230" s="141" t="s">
        <v>2022</v>
      </c>
      <c r="N230" s="134" t="s">
        <v>2023</v>
      </c>
      <c r="O230" s="134" t="s">
        <v>69</v>
      </c>
      <c r="P230" s="134" t="s">
        <v>69</v>
      </c>
      <c r="Q230" s="134" t="s">
        <v>69</v>
      </c>
      <c r="R230" s="140"/>
      <c r="S230" s="135"/>
      <c r="T230" s="135"/>
      <c r="V230" s="149"/>
      <c r="Y230" s="134"/>
      <c r="Z230" s="134"/>
    </row>
    <row r="231" spans="1:26" s="141" customFormat="1" x14ac:dyDescent="0.2">
      <c r="A231" s="141" t="s">
        <v>1741</v>
      </c>
      <c r="B231" s="134" t="s">
        <v>1990</v>
      </c>
      <c r="C231" s="135" t="s">
        <v>282</v>
      </c>
      <c r="D231" s="136">
        <v>58.534894000000001</v>
      </c>
      <c r="E231" s="136">
        <v>15.045794000000001</v>
      </c>
      <c r="F231" s="137">
        <f t="shared" si="9"/>
        <v>5676</v>
      </c>
      <c r="G231" s="138">
        <v>5721</v>
      </c>
      <c r="H231" s="138">
        <v>5631</v>
      </c>
      <c r="I231" s="463" t="s">
        <v>1344</v>
      </c>
      <c r="J231" s="463" t="s">
        <v>2024</v>
      </c>
      <c r="K231" s="139" t="s">
        <v>2021</v>
      </c>
      <c r="L231" s="140" t="s">
        <v>14</v>
      </c>
      <c r="M231" s="141" t="s">
        <v>2025</v>
      </c>
      <c r="N231" s="134" t="s">
        <v>2026</v>
      </c>
      <c r="O231" s="134" t="s">
        <v>69</v>
      </c>
      <c r="P231" s="134" t="s">
        <v>69</v>
      </c>
      <c r="Q231" s="134" t="s">
        <v>69</v>
      </c>
      <c r="R231" s="140"/>
      <c r="S231" s="135"/>
      <c r="T231" s="135"/>
      <c r="V231" s="149"/>
      <c r="Y231" s="134"/>
      <c r="Z231" s="134"/>
    </row>
    <row r="232" spans="1:26" s="141" customFormat="1" x14ac:dyDescent="0.2">
      <c r="A232" s="141" t="s">
        <v>1997</v>
      </c>
      <c r="B232" s="134" t="s">
        <v>1998</v>
      </c>
      <c r="C232" s="135" t="s">
        <v>282</v>
      </c>
      <c r="D232" s="136">
        <v>57.26</v>
      </c>
      <c r="E232" s="136">
        <v>18.09</v>
      </c>
      <c r="F232" s="137">
        <f t="shared" si="9"/>
        <v>2750</v>
      </c>
      <c r="G232" s="138">
        <f t="shared" ref="G232:G243" si="14">5000-1950</f>
        <v>3050</v>
      </c>
      <c r="H232" s="138">
        <f t="shared" ref="H232:H243" si="15">4400-1950</f>
        <v>2450</v>
      </c>
      <c r="I232" s="463" t="s">
        <v>162</v>
      </c>
      <c r="J232" s="463" t="s">
        <v>69</v>
      </c>
      <c r="K232" s="139" t="s">
        <v>2000</v>
      </c>
      <c r="L232" s="140" t="s">
        <v>69</v>
      </c>
      <c r="M232" s="141" t="s">
        <v>2027</v>
      </c>
      <c r="N232" s="134" t="s">
        <v>69</v>
      </c>
      <c r="O232" s="134" t="s">
        <v>69</v>
      </c>
      <c r="P232" s="134" t="s">
        <v>69</v>
      </c>
      <c r="Q232" s="134" t="s">
        <v>69</v>
      </c>
      <c r="R232" s="140"/>
      <c r="S232" s="135"/>
      <c r="T232" s="135"/>
      <c r="V232" s="149"/>
      <c r="Y232" s="134"/>
      <c r="Z232" s="134"/>
    </row>
    <row r="233" spans="1:26" s="141" customFormat="1" x14ac:dyDescent="0.2">
      <c r="A233" s="141" t="s">
        <v>1997</v>
      </c>
      <c r="B233" s="134" t="s">
        <v>1998</v>
      </c>
      <c r="C233" s="135" t="s">
        <v>282</v>
      </c>
      <c r="D233" s="136">
        <v>57.26</v>
      </c>
      <c r="E233" s="136">
        <v>18.09</v>
      </c>
      <c r="F233" s="137">
        <f t="shared" si="9"/>
        <v>2750</v>
      </c>
      <c r="G233" s="138">
        <f t="shared" si="14"/>
        <v>3050</v>
      </c>
      <c r="H233" s="138">
        <f t="shared" si="15"/>
        <v>2450</v>
      </c>
      <c r="I233" s="463" t="s">
        <v>162</v>
      </c>
      <c r="J233" s="463" t="s">
        <v>69</v>
      </c>
      <c r="K233" s="139" t="s">
        <v>2000</v>
      </c>
      <c r="L233" s="140" t="s">
        <v>69</v>
      </c>
      <c r="M233" s="141" t="s">
        <v>2028</v>
      </c>
      <c r="N233" s="134" t="s">
        <v>69</v>
      </c>
      <c r="O233" s="134" t="s">
        <v>69</v>
      </c>
      <c r="P233" s="134" t="s">
        <v>69</v>
      </c>
      <c r="Q233" s="134" t="s">
        <v>69</v>
      </c>
      <c r="R233" s="140"/>
      <c r="S233" s="135"/>
      <c r="T233" s="135"/>
      <c r="V233" s="149"/>
      <c r="Y233" s="134"/>
      <c r="Z233" s="134"/>
    </row>
    <row r="234" spans="1:26" s="141" customFormat="1" x14ac:dyDescent="0.2">
      <c r="A234" s="141" t="s">
        <v>1997</v>
      </c>
      <c r="B234" s="134" t="s">
        <v>1998</v>
      </c>
      <c r="C234" s="135" t="s">
        <v>282</v>
      </c>
      <c r="D234" s="136">
        <v>57.26</v>
      </c>
      <c r="E234" s="136">
        <v>18.09</v>
      </c>
      <c r="F234" s="137">
        <f t="shared" si="9"/>
        <v>2750</v>
      </c>
      <c r="G234" s="138">
        <f t="shared" si="14"/>
        <v>3050</v>
      </c>
      <c r="H234" s="138">
        <f t="shared" si="15"/>
        <v>2450</v>
      </c>
      <c r="I234" s="463" t="s">
        <v>162</v>
      </c>
      <c r="J234" s="463" t="s">
        <v>69</v>
      </c>
      <c r="K234" s="139" t="s">
        <v>2000</v>
      </c>
      <c r="L234" s="140" t="s">
        <v>69</v>
      </c>
      <c r="M234" s="141" t="s">
        <v>2029</v>
      </c>
      <c r="N234" s="134" t="s">
        <v>69</v>
      </c>
      <c r="O234" s="134" t="s">
        <v>69</v>
      </c>
      <c r="P234" s="134" t="s">
        <v>69</v>
      </c>
      <c r="Q234" s="134" t="s">
        <v>69</v>
      </c>
      <c r="R234" s="140"/>
      <c r="S234" s="135"/>
      <c r="T234" s="135"/>
      <c r="V234" s="149"/>
      <c r="Y234" s="134"/>
      <c r="Z234" s="134"/>
    </row>
    <row r="235" spans="1:26" s="141" customFormat="1" x14ac:dyDescent="0.2">
      <c r="A235" s="141" t="s">
        <v>1997</v>
      </c>
      <c r="B235" s="134" t="s">
        <v>1998</v>
      </c>
      <c r="C235" s="135" t="s">
        <v>282</v>
      </c>
      <c r="D235" s="136">
        <v>57.26</v>
      </c>
      <c r="E235" s="136">
        <v>18.09</v>
      </c>
      <c r="F235" s="137">
        <f t="shared" si="9"/>
        <v>2750</v>
      </c>
      <c r="G235" s="138">
        <f t="shared" si="14"/>
        <v>3050</v>
      </c>
      <c r="H235" s="138">
        <f t="shared" si="15"/>
        <v>2450</v>
      </c>
      <c r="I235" s="463" t="s">
        <v>162</v>
      </c>
      <c r="J235" s="463" t="s">
        <v>69</v>
      </c>
      <c r="K235" s="139" t="s">
        <v>2000</v>
      </c>
      <c r="L235" s="140" t="s">
        <v>69</v>
      </c>
      <c r="M235" s="141" t="s">
        <v>2030</v>
      </c>
      <c r="N235" s="134" t="s">
        <v>69</v>
      </c>
      <c r="O235" s="134" t="s">
        <v>69</v>
      </c>
      <c r="P235" s="134" t="s">
        <v>69</v>
      </c>
      <c r="Q235" s="134" t="s">
        <v>69</v>
      </c>
      <c r="R235" s="140"/>
      <c r="S235" s="135"/>
      <c r="T235" s="135"/>
      <c r="V235" s="149"/>
      <c r="Y235" s="134"/>
      <c r="Z235" s="134"/>
    </row>
    <row r="236" spans="1:26" s="141" customFormat="1" x14ac:dyDescent="0.2">
      <c r="A236" s="141" t="s">
        <v>1997</v>
      </c>
      <c r="B236" s="134" t="s">
        <v>2007</v>
      </c>
      <c r="C236" s="135" t="s">
        <v>282</v>
      </c>
      <c r="D236" s="136" t="s">
        <v>69</v>
      </c>
      <c r="E236" s="136" t="s">
        <v>69</v>
      </c>
      <c r="F236" s="137">
        <f t="shared" si="9"/>
        <v>2750</v>
      </c>
      <c r="G236" s="138">
        <f t="shared" si="14"/>
        <v>3050</v>
      </c>
      <c r="H236" s="138">
        <f t="shared" si="15"/>
        <v>2450</v>
      </c>
      <c r="I236" s="463" t="s">
        <v>162</v>
      </c>
      <c r="J236" s="463" t="s">
        <v>69</v>
      </c>
      <c r="K236" s="139" t="s">
        <v>2000</v>
      </c>
      <c r="L236" s="140" t="s">
        <v>69</v>
      </c>
      <c r="M236" s="141" t="s">
        <v>2031</v>
      </c>
      <c r="N236" s="134" t="s">
        <v>69</v>
      </c>
      <c r="O236" s="134" t="s">
        <v>69</v>
      </c>
      <c r="P236" s="134" t="s">
        <v>69</v>
      </c>
      <c r="Q236" s="134" t="s">
        <v>69</v>
      </c>
      <c r="R236" s="140"/>
      <c r="S236" s="135"/>
      <c r="T236" s="135"/>
      <c r="V236" s="149"/>
      <c r="Y236" s="134"/>
      <c r="Z236" s="134"/>
    </row>
    <row r="237" spans="1:26" s="141" customFormat="1" x14ac:dyDescent="0.2">
      <c r="A237" s="141" t="s">
        <v>1997</v>
      </c>
      <c r="B237" s="134" t="s">
        <v>2007</v>
      </c>
      <c r="C237" s="135" t="s">
        <v>282</v>
      </c>
      <c r="D237" s="136" t="s">
        <v>69</v>
      </c>
      <c r="E237" s="136" t="s">
        <v>69</v>
      </c>
      <c r="F237" s="137">
        <f t="shared" si="9"/>
        <v>2750</v>
      </c>
      <c r="G237" s="138">
        <f t="shared" si="14"/>
        <v>3050</v>
      </c>
      <c r="H237" s="138">
        <f t="shared" si="15"/>
        <v>2450</v>
      </c>
      <c r="I237" s="463" t="s">
        <v>162</v>
      </c>
      <c r="J237" s="463" t="s">
        <v>69</v>
      </c>
      <c r="K237" s="139" t="s">
        <v>2000</v>
      </c>
      <c r="L237" s="140" t="s">
        <v>69</v>
      </c>
      <c r="M237" s="141" t="s">
        <v>2032</v>
      </c>
      <c r="N237" s="134" t="s">
        <v>69</v>
      </c>
      <c r="O237" s="134" t="s">
        <v>69</v>
      </c>
      <c r="P237" s="134" t="s">
        <v>69</v>
      </c>
      <c r="Q237" s="134" t="s">
        <v>69</v>
      </c>
      <c r="R237" s="140"/>
      <c r="S237" s="135"/>
      <c r="T237" s="135"/>
      <c r="V237" s="149"/>
      <c r="Y237" s="134"/>
      <c r="Z237" s="134"/>
    </row>
    <row r="238" spans="1:26" s="141" customFormat="1" x14ac:dyDescent="0.2">
      <c r="A238" s="141" t="s">
        <v>1997</v>
      </c>
      <c r="B238" s="134" t="s">
        <v>2005</v>
      </c>
      <c r="C238" s="135" t="s">
        <v>282</v>
      </c>
      <c r="D238" s="136">
        <v>57.84</v>
      </c>
      <c r="E238" s="136">
        <v>18.600000000000001</v>
      </c>
      <c r="F238" s="137">
        <f t="shared" si="9"/>
        <v>2750</v>
      </c>
      <c r="G238" s="138">
        <f t="shared" si="14"/>
        <v>3050</v>
      </c>
      <c r="H238" s="138">
        <f t="shared" si="15"/>
        <v>2450</v>
      </c>
      <c r="I238" s="463" t="s">
        <v>162</v>
      </c>
      <c r="J238" s="463" t="s">
        <v>69</v>
      </c>
      <c r="K238" s="139" t="s">
        <v>2000</v>
      </c>
      <c r="L238" s="140" t="s">
        <v>69</v>
      </c>
      <c r="M238" s="141" t="s">
        <v>2033</v>
      </c>
      <c r="N238" s="134" t="s">
        <v>69</v>
      </c>
      <c r="O238" s="134" t="s">
        <v>69</v>
      </c>
      <c r="P238" s="134" t="s">
        <v>69</v>
      </c>
      <c r="Q238" s="134" t="s">
        <v>69</v>
      </c>
      <c r="R238" s="140"/>
      <c r="S238" s="135"/>
      <c r="T238" s="135"/>
      <c r="V238" s="149"/>
      <c r="Y238" s="134"/>
      <c r="Z238" s="134"/>
    </row>
    <row r="239" spans="1:26" s="141" customFormat="1" x14ac:dyDescent="0.2">
      <c r="A239" s="141" t="s">
        <v>1997</v>
      </c>
      <c r="B239" s="134" t="s">
        <v>2005</v>
      </c>
      <c r="C239" s="135" t="s">
        <v>282</v>
      </c>
      <c r="D239" s="136">
        <v>57.84</v>
      </c>
      <c r="E239" s="136">
        <v>18.600000000000001</v>
      </c>
      <c r="F239" s="137">
        <f t="shared" si="9"/>
        <v>2750</v>
      </c>
      <c r="G239" s="138">
        <f t="shared" si="14"/>
        <v>3050</v>
      </c>
      <c r="H239" s="138">
        <f t="shared" si="15"/>
        <v>2450</v>
      </c>
      <c r="I239" s="463" t="s">
        <v>162</v>
      </c>
      <c r="J239" s="463" t="s">
        <v>69</v>
      </c>
      <c r="K239" s="139" t="s">
        <v>2000</v>
      </c>
      <c r="L239" s="140" t="s">
        <v>69</v>
      </c>
      <c r="M239" s="141" t="s">
        <v>2034</v>
      </c>
      <c r="N239" s="134" t="s">
        <v>69</v>
      </c>
      <c r="O239" s="134" t="s">
        <v>69</v>
      </c>
      <c r="P239" s="134" t="s">
        <v>69</v>
      </c>
      <c r="Q239" s="134" t="s">
        <v>69</v>
      </c>
      <c r="R239" s="140"/>
      <c r="S239" s="135"/>
      <c r="T239" s="135"/>
      <c r="V239" s="149"/>
      <c r="Y239" s="134"/>
      <c r="Z239" s="134"/>
    </row>
    <row r="240" spans="1:26" s="141" customFormat="1" x14ac:dyDescent="0.2">
      <c r="A240" s="141" t="s">
        <v>382</v>
      </c>
      <c r="B240" s="134" t="s">
        <v>1998</v>
      </c>
      <c r="C240" s="135" t="s">
        <v>282</v>
      </c>
      <c r="D240" s="136">
        <v>57.26</v>
      </c>
      <c r="E240" s="136">
        <v>18.09</v>
      </c>
      <c r="F240" s="137">
        <f t="shared" si="9"/>
        <v>2750</v>
      </c>
      <c r="G240" s="138">
        <f t="shared" si="14"/>
        <v>3050</v>
      </c>
      <c r="H240" s="138">
        <f t="shared" si="15"/>
        <v>2450</v>
      </c>
      <c r="I240" s="463" t="s">
        <v>162</v>
      </c>
      <c r="J240" s="463" t="s">
        <v>69</v>
      </c>
      <c r="K240" s="139" t="s">
        <v>2000</v>
      </c>
      <c r="L240" s="140" t="s">
        <v>69</v>
      </c>
      <c r="M240" s="141" t="s">
        <v>2035</v>
      </c>
      <c r="N240" s="134" t="s">
        <v>69</v>
      </c>
      <c r="O240" s="134" t="s">
        <v>69</v>
      </c>
      <c r="P240" s="134" t="s">
        <v>69</v>
      </c>
      <c r="Q240" s="134" t="s">
        <v>69</v>
      </c>
      <c r="R240" s="140"/>
      <c r="S240" s="135"/>
      <c r="T240" s="135"/>
      <c r="V240" s="149"/>
      <c r="Y240" s="134"/>
      <c r="Z240" s="134"/>
    </row>
    <row r="241" spans="1:26" s="141" customFormat="1" x14ac:dyDescent="0.2">
      <c r="A241" s="141" t="s">
        <v>382</v>
      </c>
      <c r="B241" s="134" t="s">
        <v>2007</v>
      </c>
      <c r="C241" s="135" t="s">
        <v>282</v>
      </c>
      <c r="D241" s="136" t="s">
        <v>69</v>
      </c>
      <c r="E241" s="136" t="s">
        <v>69</v>
      </c>
      <c r="F241" s="137">
        <f t="shared" si="9"/>
        <v>2750</v>
      </c>
      <c r="G241" s="138">
        <f t="shared" si="14"/>
        <v>3050</v>
      </c>
      <c r="H241" s="138">
        <f t="shared" si="15"/>
        <v>2450</v>
      </c>
      <c r="I241" s="463" t="s">
        <v>162</v>
      </c>
      <c r="J241" s="463" t="s">
        <v>69</v>
      </c>
      <c r="K241" s="139" t="s">
        <v>2000</v>
      </c>
      <c r="L241" s="140" t="s">
        <v>69</v>
      </c>
      <c r="M241" s="141" t="s">
        <v>2036</v>
      </c>
      <c r="N241" s="134" t="s">
        <v>69</v>
      </c>
      <c r="O241" s="134" t="s">
        <v>69</v>
      </c>
      <c r="P241" s="134" t="s">
        <v>69</v>
      </c>
      <c r="Q241" s="134" t="s">
        <v>69</v>
      </c>
      <c r="R241" s="140"/>
      <c r="S241" s="135"/>
      <c r="T241" s="135"/>
      <c r="V241" s="149"/>
      <c r="Y241" s="134"/>
      <c r="Z241" s="134"/>
    </row>
    <row r="242" spans="1:26" s="141" customFormat="1" x14ac:dyDescent="0.2">
      <c r="A242" s="141" t="s">
        <v>382</v>
      </c>
      <c r="B242" s="134" t="s">
        <v>2005</v>
      </c>
      <c r="C242" s="135" t="s">
        <v>282</v>
      </c>
      <c r="D242" s="136">
        <v>57.84</v>
      </c>
      <c r="E242" s="136">
        <v>18.600000000000001</v>
      </c>
      <c r="F242" s="137">
        <f t="shared" si="9"/>
        <v>2750</v>
      </c>
      <c r="G242" s="138">
        <f t="shared" si="14"/>
        <v>3050</v>
      </c>
      <c r="H242" s="138">
        <f t="shared" si="15"/>
        <v>2450</v>
      </c>
      <c r="I242" s="463" t="s">
        <v>162</v>
      </c>
      <c r="J242" s="463" t="s">
        <v>69</v>
      </c>
      <c r="K242" s="139" t="s">
        <v>2000</v>
      </c>
      <c r="L242" s="140" t="s">
        <v>69</v>
      </c>
      <c r="M242" s="141" t="s">
        <v>2037</v>
      </c>
      <c r="N242" s="134" t="s">
        <v>69</v>
      </c>
      <c r="O242" s="134" t="s">
        <v>69</v>
      </c>
      <c r="P242" s="134" t="s">
        <v>69</v>
      </c>
      <c r="Q242" s="134" t="s">
        <v>69</v>
      </c>
      <c r="R242" s="140"/>
      <c r="S242" s="135"/>
      <c r="T242" s="135"/>
      <c r="V242" s="149"/>
      <c r="Y242" s="134"/>
      <c r="Z242" s="134"/>
    </row>
    <row r="243" spans="1:26" s="141" customFormat="1" x14ac:dyDescent="0.2">
      <c r="A243" s="141" t="s">
        <v>382</v>
      </c>
      <c r="B243" s="134" t="s">
        <v>2005</v>
      </c>
      <c r="C243" s="135" t="s">
        <v>282</v>
      </c>
      <c r="D243" s="136">
        <v>57.84</v>
      </c>
      <c r="E243" s="136">
        <v>18.600000000000001</v>
      </c>
      <c r="F243" s="137">
        <f t="shared" si="9"/>
        <v>2750</v>
      </c>
      <c r="G243" s="138">
        <f t="shared" si="14"/>
        <v>3050</v>
      </c>
      <c r="H243" s="138">
        <f t="shared" si="15"/>
        <v>2450</v>
      </c>
      <c r="I243" s="463" t="s">
        <v>162</v>
      </c>
      <c r="J243" s="463" t="s">
        <v>69</v>
      </c>
      <c r="K243" s="139" t="s">
        <v>2000</v>
      </c>
      <c r="L243" s="140" t="s">
        <v>69</v>
      </c>
      <c r="M243" s="141" t="s">
        <v>2038</v>
      </c>
      <c r="N243" s="134" t="s">
        <v>69</v>
      </c>
      <c r="O243" s="134" t="s">
        <v>69</v>
      </c>
      <c r="P243" s="134" t="s">
        <v>69</v>
      </c>
      <c r="Q243" s="134" t="s">
        <v>69</v>
      </c>
      <c r="R243" s="140"/>
      <c r="S243" s="135"/>
      <c r="T243" s="135"/>
      <c r="V243" s="149"/>
      <c r="Y243" s="134"/>
      <c r="Z243" s="134"/>
    </row>
    <row r="244" spans="1:26" s="141" customFormat="1" x14ac:dyDescent="0.2">
      <c r="A244" s="141" t="s">
        <v>1637</v>
      </c>
      <c r="B244" s="134" t="s">
        <v>2039</v>
      </c>
      <c r="C244" s="135" t="s">
        <v>282</v>
      </c>
      <c r="D244" s="136" t="s">
        <v>69</v>
      </c>
      <c r="E244" s="136" t="s">
        <v>69</v>
      </c>
      <c r="F244" s="137">
        <f t="shared" si="9"/>
        <v>6821</v>
      </c>
      <c r="G244" s="138">
        <v>7013</v>
      </c>
      <c r="H244" s="138">
        <v>6629</v>
      </c>
      <c r="I244" s="463" t="s">
        <v>1579</v>
      </c>
      <c r="J244" s="463" t="s">
        <v>2040</v>
      </c>
      <c r="K244" s="139" t="s">
        <v>1640</v>
      </c>
      <c r="L244" s="140" t="s">
        <v>14</v>
      </c>
      <c r="M244" s="141" t="s">
        <v>2041</v>
      </c>
      <c r="N244" s="134" t="s">
        <v>2042</v>
      </c>
      <c r="O244" s="134" t="s">
        <v>2043</v>
      </c>
      <c r="P244" s="134" t="s">
        <v>69</v>
      </c>
      <c r="Q244" s="134" t="s">
        <v>69</v>
      </c>
      <c r="R244" s="140"/>
      <c r="S244" s="135"/>
      <c r="T244" s="135"/>
      <c r="V244" s="149"/>
      <c r="Y244" s="134"/>
      <c r="Z244" s="134"/>
    </row>
    <row r="245" spans="1:26" s="141" customFormat="1" x14ac:dyDescent="0.2">
      <c r="A245" s="141" t="s">
        <v>1637</v>
      </c>
      <c r="B245" s="134" t="s">
        <v>2044</v>
      </c>
      <c r="C245" s="135" t="s">
        <v>282</v>
      </c>
      <c r="D245" s="136">
        <v>57.284999999999997</v>
      </c>
      <c r="E245" s="136">
        <v>17.97</v>
      </c>
      <c r="F245" s="137">
        <f t="shared" si="9"/>
        <v>6945</v>
      </c>
      <c r="G245" s="138">
        <v>7083</v>
      </c>
      <c r="H245" s="138">
        <v>6807</v>
      </c>
      <c r="I245" s="463" t="s">
        <v>1579</v>
      </c>
      <c r="J245" s="463" t="s">
        <v>69</v>
      </c>
      <c r="K245" s="139" t="s">
        <v>1640</v>
      </c>
      <c r="L245" s="140" t="s">
        <v>2</v>
      </c>
      <c r="M245" s="141" t="s">
        <v>2045</v>
      </c>
      <c r="N245" s="134" t="s">
        <v>2046</v>
      </c>
      <c r="O245" s="134" t="s">
        <v>2047</v>
      </c>
      <c r="P245" s="134" t="s">
        <v>2048</v>
      </c>
      <c r="Q245" s="134" t="s">
        <v>69</v>
      </c>
      <c r="R245" s="140"/>
      <c r="S245" s="135"/>
      <c r="T245" s="135"/>
      <c r="V245" s="149"/>
      <c r="Y245" s="134"/>
      <c r="Z245" s="134"/>
    </row>
    <row r="246" spans="1:26" s="141" customFormat="1" x14ac:dyDescent="0.2">
      <c r="A246" s="141" t="s">
        <v>1637</v>
      </c>
      <c r="B246" s="134" t="s">
        <v>2044</v>
      </c>
      <c r="C246" s="135" t="s">
        <v>282</v>
      </c>
      <c r="D246" s="136">
        <v>57.284999999999997</v>
      </c>
      <c r="E246" s="136">
        <v>17.97</v>
      </c>
      <c r="F246" s="137">
        <f t="shared" si="9"/>
        <v>7194</v>
      </c>
      <c r="G246" s="138">
        <v>7350</v>
      </c>
      <c r="H246" s="138">
        <v>7038</v>
      </c>
      <c r="I246" s="463" t="s">
        <v>1620</v>
      </c>
      <c r="J246" s="463" t="s">
        <v>69</v>
      </c>
      <c r="K246" s="139" t="s">
        <v>1640</v>
      </c>
      <c r="L246" s="140" t="s">
        <v>2</v>
      </c>
      <c r="M246" s="141" t="s">
        <v>2049</v>
      </c>
      <c r="N246" s="134" t="s">
        <v>2050</v>
      </c>
      <c r="O246" s="134" t="s">
        <v>2051</v>
      </c>
      <c r="P246" s="134" t="s">
        <v>69</v>
      </c>
      <c r="Q246" s="134" t="s">
        <v>69</v>
      </c>
      <c r="R246" s="140"/>
      <c r="S246" s="135"/>
      <c r="T246" s="135"/>
      <c r="V246" s="149"/>
      <c r="Y246" s="134"/>
      <c r="Z246" s="134"/>
    </row>
    <row r="247" spans="1:26" s="141" customFormat="1" x14ac:dyDescent="0.2">
      <c r="A247" s="141" t="s">
        <v>1997</v>
      </c>
      <c r="B247" s="134" t="s">
        <v>1998</v>
      </c>
      <c r="C247" s="135" t="s">
        <v>282</v>
      </c>
      <c r="D247" s="136">
        <v>57.26</v>
      </c>
      <c r="E247" s="136">
        <v>18.09</v>
      </c>
      <c r="F247" s="137">
        <f t="shared" si="9"/>
        <v>2750</v>
      </c>
      <c r="G247" s="138">
        <f t="shared" ref="G247:G253" si="16">5000-1950</f>
        <v>3050</v>
      </c>
      <c r="H247" s="138">
        <f t="shared" ref="H247:H253" si="17">4400-1950</f>
        <v>2450</v>
      </c>
      <c r="I247" s="463" t="s">
        <v>9</v>
      </c>
      <c r="J247" s="463" t="s">
        <v>69</v>
      </c>
      <c r="K247" s="139" t="s">
        <v>2000</v>
      </c>
      <c r="L247" s="140" t="s">
        <v>69</v>
      </c>
      <c r="M247" s="141" t="s">
        <v>2052</v>
      </c>
      <c r="N247" s="134" t="s">
        <v>69</v>
      </c>
      <c r="O247" s="134" t="s">
        <v>69</v>
      </c>
      <c r="P247" s="134" t="s">
        <v>69</v>
      </c>
      <c r="Q247" s="134" t="s">
        <v>69</v>
      </c>
      <c r="R247" s="140"/>
      <c r="S247" s="135"/>
      <c r="T247" s="135"/>
      <c r="V247" s="149"/>
      <c r="Y247" s="134"/>
      <c r="Z247" s="134"/>
    </row>
    <row r="248" spans="1:26" s="141" customFormat="1" x14ac:dyDescent="0.2">
      <c r="A248" s="141" t="s">
        <v>1997</v>
      </c>
      <c r="B248" s="134" t="s">
        <v>1998</v>
      </c>
      <c r="C248" s="135" t="s">
        <v>282</v>
      </c>
      <c r="D248" s="136">
        <v>57.26</v>
      </c>
      <c r="E248" s="136">
        <v>18.09</v>
      </c>
      <c r="F248" s="137">
        <f t="shared" si="9"/>
        <v>2750</v>
      </c>
      <c r="G248" s="138">
        <f t="shared" si="16"/>
        <v>3050</v>
      </c>
      <c r="H248" s="138">
        <f t="shared" si="17"/>
        <v>2450</v>
      </c>
      <c r="I248" s="463" t="s">
        <v>9</v>
      </c>
      <c r="J248" s="463" t="s">
        <v>69</v>
      </c>
      <c r="K248" s="139" t="s">
        <v>2000</v>
      </c>
      <c r="L248" s="140" t="s">
        <v>69</v>
      </c>
      <c r="M248" s="141" t="s">
        <v>2053</v>
      </c>
      <c r="N248" s="134" t="s">
        <v>69</v>
      </c>
      <c r="O248" s="134" t="s">
        <v>69</v>
      </c>
      <c r="P248" s="134" t="s">
        <v>69</v>
      </c>
      <c r="Q248" s="134" t="s">
        <v>69</v>
      </c>
      <c r="R248" s="140"/>
      <c r="S248" s="135"/>
      <c r="T248" s="135"/>
      <c r="V248" s="149"/>
      <c r="Y248" s="134"/>
      <c r="Z248" s="134"/>
    </row>
    <row r="249" spans="1:26" s="141" customFormat="1" x14ac:dyDescent="0.2">
      <c r="A249" s="141" t="s">
        <v>1997</v>
      </c>
      <c r="B249" s="134" t="s">
        <v>2007</v>
      </c>
      <c r="C249" s="135" t="s">
        <v>282</v>
      </c>
      <c r="D249" s="136" t="s">
        <v>69</v>
      </c>
      <c r="E249" s="136" t="s">
        <v>69</v>
      </c>
      <c r="F249" s="137">
        <f t="shared" si="9"/>
        <v>2750</v>
      </c>
      <c r="G249" s="138">
        <f t="shared" si="16"/>
        <v>3050</v>
      </c>
      <c r="H249" s="138">
        <f t="shared" si="17"/>
        <v>2450</v>
      </c>
      <c r="I249" s="463" t="s">
        <v>9</v>
      </c>
      <c r="J249" s="463" t="s">
        <v>69</v>
      </c>
      <c r="K249" s="139" t="s">
        <v>2000</v>
      </c>
      <c r="L249" s="140" t="s">
        <v>69</v>
      </c>
      <c r="M249" s="141" t="s">
        <v>2054</v>
      </c>
      <c r="N249" s="134" t="s">
        <v>69</v>
      </c>
      <c r="O249" s="134" t="s">
        <v>69</v>
      </c>
      <c r="P249" s="134" t="s">
        <v>69</v>
      </c>
      <c r="Q249" s="134" t="s">
        <v>69</v>
      </c>
      <c r="R249" s="140"/>
      <c r="S249" s="135"/>
      <c r="T249" s="135"/>
      <c r="V249" s="149"/>
      <c r="Y249" s="134"/>
      <c r="Z249" s="134"/>
    </row>
    <row r="250" spans="1:26" s="141" customFormat="1" x14ac:dyDescent="0.2">
      <c r="A250" s="141" t="s">
        <v>1997</v>
      </c>
      <c r="B250" s="134" t="s">
        <v>1998</v>
      </c>
      <c r="C250" s="135" t="s">
        <v>282</v>
      </c>
      <c r="D250" s="136">
        <v>57.26</v>
      </c>
      <c r="E250" s="136">
        <v>18.09</v>
      </c>
      <c r="F250" s="137">
        <f t="shared" si="9"/>
        <v>2750</v>
      </c>
      <c r="G250" s="138">
        <f t="shared" si="16"/>
        <v>3050</v>
      </c>
      <c r="H250" s="138">
        <f t="shared" si="17"/>
        <v>2450</v>
      </c>
      <c r="I250" s="463" t="s">
        <v>62</v>
      </c>
      <c r="J250" s="463" t="s">
        <v>69</v>
      </c>
      <c r="K250" s="139" t="s">
        <v>2000</v>
      </c>
      <c r="L250" s="140" t="s">
        <v>69</v>
      </c>
      <c r="M250" s="141" t="s">
        <v>2055</v>
      </c>
      <c r="N250" s="134" t="s">
        <v>69</v>
      </c>
      <c r="O250" s="134" t="s">
        <v>69</v>
      </c>
      <c r="P250" s="134" t="s">
        <v>69</v>
      </c>
      <c r="Q250" s="134" t="s">
        <v>69</v>
      </c>
      <c r="R250" s="140"/>
      <c r="S250" s="135"/>
      <c r="T250" s="135"/>
      <c r="V250" s="149"/>
      <c r="Y250" s="134"/>
      <c r="Z250" s="134"/>
    </row>
    <row r="251" spans="1:26" s="141" customFormat="1" x14ac:dyDescent="0.2">
      <c r="A251" s="141" t="s">
        <v>1997</v>
      </c>
      <c r="B251" s="134" t="s">
        <v>1998</v>
      </c>
      <c r="C251" s="135" t="s">
        <v>282</v>
      </c>
      <c r="D251" s="136">
        <v>57.26</v>
      </c>
      <c r="E251" s="136">
        <v>18.09</v>
      </c>
      <c r="F251" s="137">
        <f t="shared" si="9"/>
        <v>2750</v>
      </c>
      <c r="G251" s="138">
        <f t="shared" si="16"/>
        <v>3050</v>
      </c>
      <c r="H251" s="138">
        <f t="shared" si="17"/>
        <v>2450</v>
      </c>
      <c r="I251" s="463" t="s">
        <v>62</v>
      </c>
      <c r="J251" s="463" t="s">
        <v>69</v>
      </c>
      <c r="K251" s="139" t="s">
        <v>2000</v>
      </c>
      <c r="L251" s="140" t="s">
        <v>69</v>
      </c>
      <c r="M251" s="141" t="s">
        <v>2056</v>
      </c>
      <c r="N251" s="134" t="s">
        <v>69</v>
      </c>
      <c r="O251" s="134" t="s">
        <v>69</v>
      </c>
      <c r="P251" s="134" t="s">
        <v>69</v>
      </c>
      <c r="Q251" s="134" t="s">
        <v>69</v>
      </c>
      <c r="R251" s="140"/>
      <c r="S251" s="135"/>
      <c r="T251" s="135"/>
      <c r="V251" s="149"/>
      <c r="Y251" s="134"/>
      <c r="Z251" s="134"/>
    </row>
    <row r="252" spans="1:26" s="141" customFormat="1" x14ac:dyDescent="0.2">
      <c r="A252" s="141" t="s">
        <v>1997</v>
      </c>
      <c r="B252" s="134" t="s">
        <v>2007</v>
      </c>
      <c r="C252" s="135" t="s">
        <v>282</v>
      </c>
      <c r="D252" s="136" t="s">
        <v>69</v>
      </c>
      <c r="E252" s="136" t="s">
        <v>69</v>
      </c>
      <c r="F252" s="137">
        <f t="shared" si="9"/>
        <v>2750</v>
      </c>
      <c r="G252" s="138">
        <f t="shared" si="16"/>
        <v>3050</v>
      </c>
      <c r="H252" s="138">
        <f t="shared" si="17"/>
        <v>2450</v>
      </c>
      <c r="I252" s="463" t="s">
        <v>62</v>
      </c>
      <c r="J252" s="463" t="s">
        <v>69</v>
      </c>
      <c r="K252" s="139" t="s">
        <v>2000</v>
      </c>
      <c r="L252" s="140" t="s">
        <v>69</v>
      </c>
      <c r="M252" s="141" t="s">
        <v>2057</v>
      </c>
      <c r="N252" s="134" t="s">
        <v>69</v>
      </c>
      <c r="O252" s="134" t="s">
        <v>69</v>
      </c>
      <c r="P252" s="134" t="s">
        <v>69</v>
      </c>
      <c r="Q252" s="134" t="s">
        <v>69</v>
      </c>
      <c r="R252" s="140"/>
      <c r="S252" s="135"/>
      <c r="T252" s="135"/>
      <c r="V252" s="149"/>
      <c r="Y252" s="134"/>
      <c r="Z252" s="134"/>
    </row>
    <row r="253" spans="1:26" s="141" customFormat="1" x14ac:dyDescent="0.2">
      <c r="A253" s="141" t="s">
        <v>382</v>
      </c>
      <c r="B253" s="134" t="s">
        <v>2009</v>
      </c>
      <c r="C253" s="135" t="s">
        <v>282</v>
      </c>
      <c r="D253" s="136">
        <v>57.63</v>
      </c>
      <c r="E253" s="136">
        <v>18.29</v>
      </c>
      <c r="F253" s="137">
        <f t="shared" si="9"/>
        <v>2750</v>
      </c>
      <c r="G253" s="138">
        <f t="shared" si="16"/>
        <v>3050</v>
      </c>
      <c r="H253" s="138">
        <f t="shared" si="17"/>
        <v>2450</v>
      </c>
      <c r="I253" s="463" t="s">
        <v>62</v>
      </c>
      <c r="J253" s="463" t="s">
        <v>69</v>
      </c>
      <c r="K253" s="139" t="s">
        <v>2000</v>
      </c>
      <c r="L253" s="140" t="s">
        <v>69</v>
      </c>
      <c r="M253" s="141" t="s">
        <v>2058</v>
      </c>
      <c r="N253" s="134" t="s">
        <v>69</v>
      </c>
      <c r="O253" s="134" t="s">
        <v>69</v>
      </c>
      <c r="P253" s="134" t="s">
        <v>69</v>
      </c>
      <c r="Q253" s="134" t="s">
        <v>69</v>
      </c>
      <c r="R253" s="140"/>
      <c r="S253" s="135"/>
      <c r="T253" s="135"/>
      <c r="V253" s="149"/>
      <c r="Y253" s="134"/>
      <c r="Z253" s="134"/>
    </row>
    <row r="254" spans="1:26" s="141" customFormat="1" x14ac:dyDescent="0.2">
      <c r="A254" s="141" t="s">
        <v>1637</v>
      </c>
      <c r="B254" s="134" t="s">
        <v>2044</v>
      </c>
      <c r="C254" s="135" t="s">
        <v>282</v>
      </c>
      <c r="D254" s="136">
        <v>57.284999999999997</v>
      </c>
      <c r="E254" s="136">
        <v>17.97</v>
      </c>
      <c r="F254" s="137">
        <f t="shared" si="9"/>
        <v>6941.5</v>
      </c>
      <c r="G254" s="138">
        <v>7073</v>
      </c>
      <c r="H254" s="138">
        <v>6810</v>
      </c>
      <c r="I254" s="463" t="s">
        <v>864</v>
      </c>
      <c r="J254" s="463" t="s">
        <v>69</v>
      </c>
      <c r="K254" s="139" t="s">
        <v>1640</v>
      </c>
      <c r="L254" s="140" t="s">
        <v>14</v>
      </c>
      <c r="M254" s="141" t="s">
        <v>2059</v>
      </c>
      <c r="N254" s="134" t="s">
        <v>2060</v>
      </c>
      <c r="O254" s="134" t="s">
        <v>2061</v>
      </c>
      <c r="P254" s="134" t="s">
        <v>2062</v>
      </c>
      <c r="Q254" s="134" t="s">
        <v>69</v>
      </c>
      <c r="R254" s="140"/>
      <c r="S254" s="135"/>
      <c r="T254" s="135"/>
      <c r="V254" s="149"/>
      <c r="Y254" s="134"/>
      <c r="Z254" s="134"/>
    </row>
    <row r="255" spans="1:26" s="141" customFormat="1" x14ac:dyDescent="0.2">
      <c r="A255" s="141" t="s">
        <v>1741</v>
      </c>
      <c r="B255" s="134" t="s">
        <v>1990</v>
      </c>
      <c r="C255" s="135" t="s">
        <v>282</v>
      </c>
      <c r="D255" s="136">
        <v>58.534894000000001</v>
      </c>
      <c r="E255" s="136">
        <v>15.045794000000001</v>
      </c>
      <c r="F255" s="137">
        <f t="shared" si="9"/>
        <v>5618.5</v>
      </c>
      <c r="G255" s="138">
        <v>5721</v>
      </c>
      <c r="H255" s="138">
        <v>5516</v>
      </c>
      <c r="I255" s="463" t="s">
        <v>864</v>
      </c>
      <c r="J255" s="463" t="s">
        <v>575</v>
      </c>
      <c r="K255" s="139" t="s">
        <v>2021</v>
      </c>
      <c r="L255" s="140" t="s">
        <v>2</v>
      </c>
      <c r="M255" s="141" t="s">
        <v>2063</v>
      </c>
      <c r="N255" s="134" t="s">
        <v>2064</v>
      </c>
      <c r="O255" s="134" t="s">
        <v>69</v>
      </c>
      <c r="P255" s="134" t="s">
        <v>69</v>
      </c>
      <c r="Q255" s="134" t="s">
        <v>69</v>
      </c>
      <c r="R255" s="140"/>
      <c r="S255" s="135"/>
      <c r="T255" s="135"/>
      <c r="V255" s="149"/>
      <c r="Y255" s="134"/>
      <c r="Z255" s="134"/>
    </row>
    <row r="256" spans="1:26" s="141" customFormat="1" x14ac:dyDescent="0.2">
      <c r="A256" s="141" t="s">
        <v>1741</v>
      </c>
      <c r="B256" s="134" t="s">
        <v>1990</v>
      </c>
      <c r="C256" s="135" t="s">
        <v>282</v>
      </c>
      <c r="D256" s="136">
        <v>58.534894000000001</v>
      </c>
      <c r="E256" s="136">
        <v>15.045794000000001</v>
      </c>
      <c r="F256" s="137">
        <f t="shared" si="9"/>
        <v>5801</v>
      </c>
      <c r="G256" s="138">
        <v>5964</v>
      </c>
      <c r="H256" s="138">
        <v>5638</v>
      </c>
      <c r="I256" s="463" t="s">
        <v>864</v>
      </c>
      <c r="J256" s="463" t="s">
        <v>420</v>
      </c>
      <c r="K256" s="139" t="s">
        <v>2021</v>
      </c>
      <c r="L256" s="140" t="s">
        <v>14</v>
      </c>
      <c r="M256" s="141" t="s">
        <v>2065</v>
      </c>
      <c r="N256" s="134" t="s">
        <v>2066</v>
      </c>
      <c r="O256" s="134" t="s">
        <v>69</v>
      </c>
      <c r="P256" s="134" t="s">
        <v>69</v>
      </c>
      <c r="Q256" s="134" t="s">
        <v>69</v>
      </c>
      <c r="R256" s="140"/>
      <c r="S256" s="135"/>
      <c r="T256" s="135"/>
      <c r="V256" s="149"/>
      <c r="Y256" s="134"/>
      <c r="Z256" s="134"/>
    </row>
    <row r="257" spans="1:153" s="141" customFormat="1" x14ac:dyDescent="0.2">
      <c r="A257" s="141" t="s">
        <v>1612</v>
      </c>
      <c r="B257" s="134" t="s">
        <v>1990</v>
      </c>
      <c r="C257" s="135" t="s">
        <v>282</v>
      </c>
      <c r="D257" s="136">
        <v>58.534894000000001</v>
      </c>
      <c r="E257" s="136">
        <v>15.045794000000001</v>
      </c>
      <c r="F257" s="137">
        <f t="shared" si="9"/>
        <v>5618</v>
      </c>
      <c r="G257" s="138">
        <v>5721</v>
      </c>
      <c r="H257" s="138">
        <v>5515</v>
      </c>
      <c r="I257" s="463" t="s">
        <v>864</v>
      </c>
      <c r="J257" s="463" t="s">
        <v>69</v>
      </c>
      <c r="K257" s="139" t="s">
        <v>1696</v>
      </c>
      <c r="L257" s="140" t="s">
        <v>2</v>
      </c>
      <c r="M257" s="141" t="s">
        <v>2067</v>
      </c>
      <c r="N257" s="134" t="s">
        <v>69</v>
      </c>
      <c r="O257" s="134" t="s">
        <v>69</v>
      </c>
      <c r="P257" s="134" t="s">
        <v>69</v>
      </c>
      <c r="Q257" s="134" t="s">
        <v>69</v>
      </c>
      <c r="R257" s="140"/>
      <c r="S257" s="135"/>
      <c r="T257" s="135"/>
      <c r="V257" s="149"/>
      <c r="Y257" s="134"/>
      <c r="Z257" s="134"/>
    </row>
    <row r="258" spans="1:153" s="141" customFormat="1" x14ac:dyDescent="0.2">
      <c r="A258" s="141" t="s">
        <v>379</v>
      </c>
      <c r="B258" s="134" t="s">
        <v>1990</v>
      </c>
      <c r="C258" s="135" t="s">
        <v>282</v>
      </c>
      <c r="D258" s="136">
        <v>58.534894000000001</v>
      </c>
      <c r="E258" s="136">
        <v>15.045794000000001</v>
      </c>
      <c r="F258" s="137">
        <f t="shared" si="9"/>
        <v>5714.5</v>
      </c>
      <c r="G258" s="138">
        <v>5898</v>
      </c>
      <c r="H258" s="138">
        <v>5531</v>
      </c>
      <c r="I258" s="463" t="s">
        <v>622</v>
      </c>
      <c r="J258" s="463" t="s">
        <v>69</v>
      </c>
      <c r="K258" s="139" t="s">
        <v>2021</v>
      </c>
      <c r="L258" s="140" t="s">
        <v>69</v>
      </c>
      <c r="M258" s="141" t="s">
        <v>2068</v>
      </c>
      <c r="N258" s="134" t="s">
        <v>2069</v>
      </c>
      <c r="O258" s="134" t="s">
        <v>2070</v>
      </c>
      <c r="P258" s="134" t="s">
        <v>69</v>
      </c>
      <c r="Q258" s="134" t="s">
        <v>69</v>
      </c>
      <c r="R258" s="140"/>
      <c r="S258" s="135"/>
      <c r="T258" s="135"/>
      <c r="V258" s="149"/>
      <c r="Y258" s="134"/>
      <c r="Z258" s="134"/>
    </row>
    <row r="259" spans="1:153" s="141" customFormat="1" x14ac:dyDescent="0.2">
      <c r="A259" s="141" t="s">
        <v>1741</v>
      </c>
      <c r="B259" s="134" t="s">
        <v>1990</v>
      </c>
      <c r="C259" s="135" t="s">
        <v>282</v>
      </c>
      <c r="D259" s="136">
        <v>58.534894000000001</v>
      </c>
      <c r="E259" s="136">
        <v>15.045794000000001</v>
      </c>
      <c r="F259" s="137">
        <f t="shared" si="9"/>
        <v>5753</v>
      </c>
      <c r="G259" s="138">
        <v>5877</v>
      </c>
      <c r="H259" s="138">
        <v>5629</v>
      </c>
      <c r="I259" s="463" t="s">
        <v>952</v>
      </c>
      <c r="J259" s="463" t="s">
        <v>575</v>
      </c>
      <c r="K259" s="139" t="s">
        <v>2071</v>
      </c>
      <c r="L259" s="140" t="s">
        <v>2</v>
      </c>
      <c r="M259" s="141" t="s">
        <v>2072</v>
      </c>
      <c r="N259" s="134" t="s">
        <v>2073</v>
      </c>
      <c r="O259" s="134" t="s">
        <v>69</v>
      </c>
      <c r="P259" s="134" t="s">
        <v>69</v>
      </c>
      <c r="Q259" s="134" t="s">
        <v>69</v>
      </c>
      <c r="R259" s="140"/>
      <c r="S259" s="135"/>
      <c r="T259" s="135"/>
      <c r="V259" s="149"/>
      <c r="Y259" s="134"/>
      <c r="Z259" s="134"/>
    </row>
    <row r="260" spans="1:153" s="141" customFormat="1" x14ac:dyDescent="0.2">
      <c r="A260" s="141" t="s">
        <v>1741</v>
      </c>
      <c r="B260" s="134" t="s">
        <v>1990</v>
      </c>
      <c r="C260" s="135" t="s">
        <v>282</v>
      </c>
      <c r="D260" s="136">
        <v>58.534894000000001</v>
      </c>
      <c r="E260" s="136">
        <v>15.045794000000001</v>
      </c>
      <c r="F260" s="137">
        <f t="shared" si="9"/>
        <v>5796.5</v>
      </c>
      <c r="G260" s="138">
        <v>5964</v>
      </c>
      <c r="H260" s="138">
        <v>5629</v>
      </c>
      <c r="I260" s="463" t="s">
        <v>952</v>
      </c>
      <c r="J260" s="463" t="s">
        <v>581</v>
      </c>
      <c r="K260" s="139" t="s">
        <v>2021</v>
      </c>
      <c r="L260" s="140" t="s">
        <v>14</v>
      </c>
      <c r="M260" s="141" t="s">
        <v>2074</v>
      </c>
      <c r="N260" s="134" t="s">
        <v>2075</v>
      </c>
      <c r="O260" s="134" t="s">
        <v>69</v>
      </c>
      <c r="P260" s="134" t="s">
        <v>69</v>
      </c>
      <c r="Q260" s="134" t="s">
        <v>69</v>
      </c>
      <c r="R260" s="140"/>
      <c r="S260" s="135"/>
      <c r="T260" s="135"/>
      <c r="V260" s="149"/>
      <c r="Y260" s="134"/>
      <c r="Z260" s="134"/>
    </row>
    <row r="261" spans="1:153" s="141" customFormat="1" x14ac:dyDescent="0.2">
      <c r="A261" s="141" t="s">
        <v>1612</v>
      </c>
      <c r="B261" s="134" t="s">
        <v>1990</v>
      </c>
      <c r="C261" s="135" t="s">
        <v>282</v>
      </c>
      <c r="D261" s="136">
        <v>58.534894000000001</v>
      </c>
      <c r="E261" s="136">
        <v>15.045794000000001</v>
      </c>
      <c r="F261" s="137">
        <f t="shared" si="9"/>
        <v>5643</v>
      </c>
      <c r="G261" s="138">
        <v>5722</v>
      </c>
      <c r="H261" s="138">
        <v>5564</v>
      </c>
      <c r="I261" s="463" t="s">
        <v>952</v>
      </c>
      <c r="J261" s="463" t="s">
        <v>69</v>
      </c>
      <c r="K261" s="139" t="s">
        <v>1696</v>
      </c>
      <c r="L261" s="140" t="s">
        <v>2</v>
      </c>
      <c r="M261" s="141" t="s">
        <v>2076</v>
      </c>
      <c r="N261" s="134" t="s">
        <v>69</v>
      </c>
      <c r="O261" s="134" t="s">
        <v>69</v>
      </c>
      <c r="P261" s="134" t="s">
        <v>69</v>
      </c>
      <c r="Q261" s="134" t="s">
        <v>69</v>
      </c>
      <c r="R261" s="140"/>
      <c r="S261" s="135"/>
      <c r="T261" s="135"/>
      <c r="V261" s="149"/>
      <c r="Y261" s="134"/>
      <c r="Z261" s="134"/>
    </row>
    <row r="262" spans="1:153" s="141" customFormat="1" x14ac:dyDescent="0.2">
      <c r="A262" s="141" t="s">
        <v>1612</v>
      </c>
      <c r="B262" s="134" t="s">
        <v>1990</v>
      </c>
      <c r="C262" s="135" t="s">
        <v>282</v>
      </c>
      <c r="D262" s="136">
        <v>58.534894000000001</v>
      </c>
      <c r="E262" s="136">
        <v>15.045794000000001</v>
      </c>
      <c r="F262" s="137">
        <f t="shared" si="9"/>
        <v>5643</v>
      </c>
      <c r="G262" s="138">
        <v>5722</v>
      </c>
      <c r="H262" s="138">
        <v>5564</v>
      </c>
      <c r="I262" s="463" t="s">
        <v>952</v>
      </c>
      <c r="J262" s="463" t="s">
        <v>69</v>
      </c>
      <c r="K262" s="139" t="s">
        <v>1696</v>
      </c>
      <c r="L262" s="140" t="s">
        <v>2</v>
      </c>
      <c r="M262" s="141" t="s">
        <v>2077</v>
      </c>
      <c r="N262" s="134" t="s">
        <v>69</v>
      </c>
      <c r="O262" s="134" t="s">
        <v>69</v>
      </c>
      <c r="P262" s="134" t="s">
        <v>69</v>
      </c>
      <c r="Q262" s="134" t="s">
        <v>69</v>
      </c>
      <c r="R262" s="140"/>
      <c r="S262" s="135"/>
      <c r="T262" s="135"/>
      <c r="V262" s="149"/>
      <c r="Y262" s="134"/>
      <c r="Z262" s="134"/>
    </row>
    <row r="263" spans="1:153" s="141" customFormat="1" x14ac:dyDescent="0.2">
      <c r="A263" s="141" t="s">
        <v>1612</v>
      </c>
      <c r="B263" s="134" t="s">
        <v>1990</v>
      </c>
      <c r="C263" s="135" t="s">
        <v>282</v>
      </c>
      <c r="D263" s="136">
        <v>58.534894000000001</v>
      </c>
      <c r="E263" s="136">
        <v>15.045794000000001</v>
      </c>
      <c r="F263" s="137">
        <f t="shared" si="9"/>
        <v>5715.5</v>
      </c>
      <c r="G263" s="138">
        <v>5781</v>
      </c>
      <c r="H263" s="138">
        <v>5650</v>
      </c>
      <c r="I263" s="463" t="s">
        <v>952</v>
      </c>
      <c r="J263" s="463" t="s">
        <v>69</v>
      </c>
      <c r="K263" s="139" t="s">
        <v>1696</v>
      </c>
      <c r="L263" s="140" t="s">
        <v>14</v>
      </c>
      <c r="M263" s="141" t="s">
        <v>2078</v>
      </c>
      <c r="N263" s="134" t="s">
        <v>69</v>
      </c>
      <c r="O263" s="134" t="s">
        <v>69</v>
      </c>
      <c r="P263" s="134" t="s">
        <v>69</v>
      </c>
      <c r="Q263" s="134" t="s">
        <v>69</v>
      </c>
      <c r="R263" s="140"/>
      <c r="S263" s="135"/>
      <c r="T263" s="135"/>
      <c r="V263" s="149"/>
      <c r="Y263" s="134"/>
      <c r="Z263" s="134"/>
    </row>
    <row r="264" spans="1:153" s="141" customFormat="1" x14ac:dyDescent="0.2">
      <c r="A264" s="141" t="s">
        <v>1612</v>
      </c>
      <c r="B264" s="134" t="s">
        <v>1990</v>
      </c>
      <c r="C264" s="135" t="s">
        <v>282</v>
      </c>
      <c r="D264" s="136">
        <v>58.534894000000001</v>
      </c>
      <c r="E264" s="136">
        <v>15.045794000000001</v>
      </c>
      <c r="F264" s="137">
        <f t="shared" si="9"/>
        <v>5715.5</v>
      </c>
      <c r="G264" s="138">
        <v>5781</v>
      </c>
      <c r="H264" s="138">
        <v>5650</v>
      </c>
      <c r="I264" s="463" t="s">
        <v>952</v>
      </c>
      <c r="J264" s="463" t="s">
        <v>69</v>
      </c>
      <c r="K264" s="139" t="s">
        <v>1696</v>
      </c>
      <c r="L264" s="140" t="s">
        <v>14</v>
      </c>
      <c r="M264" s="141" t="s">
        <v>2079</v>
      </c>
      <c r="N264" s="134" t="s">
        <v>69</v>
      </c>
      <c r="O264" s="134" t="s">
        <v>69</v>
      </c>
      <c r="P264" s="134" t="s">
        <v>69</v>
      </c>
      <c r="Q264" s="134" t="s">
        <v>69</v>
      </c>
      <c r="R264" s="140"/>
      <c r="S264" s="135"/>
      <c r="T264" s="135"/>
      <c r="V264" s="149"/>
      <c r="Y264" s="134"/>
      <c r="Z264" s="134"/>
    </row>
    <row r="265" spans="1:153" s="141" customFormat="1" x14ac:dyDescent="0.2">
      <c r="A265" s="141" t="s">
        <v>1612</v>
      </c>
      <c r="B265" s="134" t="s">
        <v>1990</v>
      </c>
      <c r="C265" s="135" t="s">
        <v>282</v>
      </c>
      <c r="D265" s="136">
        <v>58.534894000000001</v>
      </c>
      <c r="E265" s="136">
        <v>15.045794000000001</v>
      </c>
      <c r="F265" s="137">
        <f t="shared" si="9"/>
        <v>5643</v>
      </c>
      <c r="G265" s="138">
        <v>5722</v>
      </c>
      <c r="H265" s="138">
        <v>5564</v>
      </c>
      <c r="I265" s="463" t="s">
        <v>952</v>
      </c>
      <c r="J265" s="463" t="s">
        <v>69</v>
      </c>
      <c r="K265" s="139" t="s">
        <v>1696</v>
      </c>
      <c r="L265" s="140" t="s">
        <v>2</v>
      </c>
      <c r="M265" s="141" t="s">
        <v>2080</v>
      </c>
      <c r="N265" s="134" t="s">
        <v>69</v>
      </c>
      <c r="O265" s="134" t="s">
        <v>69</v>
      </c>
      <c r="P265" s="134" t="s">
        <v>69</v>
      </c>
      <c r="Q265" s="134" t="s">
        <v>69</v>
      </c>
      <c r="R265" s="140"/>
      <c r="S265" s="135"/>
      <c r="T265" s="135"/>
      <c r="V265" s="149"/>
      <c r="Y265" s="134"/>
      <c r="Z265" s="134"/>
    </row>
    <row r="266" spans="1:153" s="141" customFormat="1" x14ac:dyDescent="0.2">
      <c r="A266" s="141" t="s">
        <v>382</v>
      </c>
      <c r="B266" s="134" t="s">
        <v>2009</v>
      </c>
      <c r="C266" s="135" t="s">
        <v>282</v>
      </c>
      <c r="D266" s="136">
        <v>57.63</v>
      </c>
      <c r="E266" s="136">
        <v>18.29</v>
      </c>
      <c r="F266" s="137">
        <f t="shared" si="9"/>
        <v>2750</v>
      </c>
      <c r="G266" s="138">
        <f>5000-1950</f>
        <v>3050</v>
      </c>
      <c r="H266" s="138">
        <f>4400-1950</f>
        <v>2450</v>
      </c>
      <c r="I266" s="463" t="s">
        <v>510</v>
      </c>
      <c r="J266" s="463" t="s">
        <v>69</v>
      </c>
      <c r="K266" s="139" t="s">
        <v>2000</v>
      </c>
      <c r="L266" s="140" t="s">
        <v>69</v>
      </c>
      <c r="M266" s="141" t="s">
        <v>2081</v>
      </c>
      <c r="N266" s="134" t="s">
        <v>69</v>
      </c>
      <c r="O266" s="134" t="s">
        <v>69</v>
      </c>
      <c r="P266" s="134" t="s">
        <v>69</v>
      </c>
      <c r="Q266" s="134" t="s">
        <v>69</v>
      </c>
      <c r="R266" s="140"/>
      <c r="S266" s="135"/>
      <c r="T266" s="135"/>
      <c r="V266" s="149"/>
      <c r="Y266" s="134"/>
      <c r="Z266" s="134"/>
    </row>
    <row r="267" spans="1:153" s="141" customFormat="1" x14ac:dyDescent="0.2">
      <c r="A267" s="141" t="s">
        <v>2271</v>
      </c>
      <c r="B267" s="134" t="s">
        <v>2272</v>
      </c>
      <c r="C267" s="161" t="s">
        <v>282</v>
      </c>
      <c r="D267" s="163">
        <v>36.785916100000001</v>
      </c>
      <c r="E267" s="163">
        <v>-3.8044830999999699</v>
      </c>
      <c r="F267" s="158">
        <f t="shared" ref="F267:F269" si="18">(G267+H267)/2</f>
        <v>7875</v>
      </c>
      <c r="G267" s="164">
        <v>8090</v>
      </c>
      <c r="H267" s="164">
        <v>7660</v>
      </c>
      <c r="I267" s="463" t="s">
        <v>952</v>
      </c>
      <c r="J267" s="498" t="s">
        <v>69</v>
      </c>
      <c r="K267" s="139" t="s">
        <v>1337</v>
      </c>
      <c r="L267" s="140" t="s">
        <v>2</v>
      </c>
      <c r="M267" s="160" t="s">
        <v>2273</v>
      </c>
      <c r="N267" s="134" t="s">
        <v>69</v>
      </c>
      <c r="O267" s="134" t="s">
        <v>69</v>
      </c>
      <c r="P267" s="134" t="s">
        <v>69</v>
      </c>
      <c r="Q267" s="134" t="s">
        <v>69</v>
      </c>
      <c r="R267" s="140"/>
      <c r="S267" s="135"/>
      <c r="T267" s="135"/>
      <c r="U267" s="135"/>
      <c r="V267" s="135"/>
      <c r="W267" s="135"/>
      <c r="X267" s="135"/>
      <c r="Y267" s="135"/>
      <c r="Z267" s="135"/>
      <c r="AA267" s="135"/>
      <c r="AB267" s="135"/>
      <c r="AC267" s="135"/>
      <c r="AD267" s="135"/>
      <c r="AE267" s="135"/>
      <c r="AF267" s="135"/>
      <c r="AG267" s="135"/>
      <c r="AH267" s="135"/>
      <c r="AI267" s="135"/>
      <c r="AJ267" s="135"/>
      <c r="AK267" s="135"/>
      <c r="AL267" s="135"/>
      <c r="AM267" s="135"/>
      <c r="AN267" s="135"/>
      <c r="AO267" s="135"/>
      <c r="AP267" s="135"/>
      <c r="AQ267" s="135"/>
      <c r="AR267" s="135"/>
      <c r="AS267" s="135"/>
      <c r="AT267" s="135"/>
      <c r="AU267" s="135"/>
      <c r="AV267" s="135"/>
      <c r="AW267" s="135"/>
      <c r="AX267" s="135"/>
      <c r="AY267" s="135"/>
      <c r="AZ267" s="135"/>
      <c r="BA267" s="135"/>
      <c r="BB267" s="135"/>
      <c r="BC267" s="135"/>
      <c r="BD267" s="135"/>
      <c r="BE267" s="135"/>
      <c r="BF267" s="135"/>
      <c r="BG267" s="135"/>
      <c r="BH267" s="135"/>
      <c r="BI267" s="135"/>
      <c r="BJ267" s="135"/>
      <c r="BK267" s="135"/>
      <c r="BL267" s="135"/>
      <c r="BM267" s="135"/>
      <c r="BN267" s="135"/>
      <c r="BO267" s="135"/>
      <c r="BP267" s="135"/>
      <c r="BQ267" s="135"/>
      <c r="BR267" s="135"/>
      <c r="BS267" s="135"/>
      <c r="BT267" s="135"/>
      <c r="BU267" s="135"/>
      <c r="BV267" s="135"/>
      <c r="BW267" s="135"/>
      <c r="BX267" s="135"/>
      <c r="BY267" s="135"/>
      <c r="BZ267" s="135"/>
      <c r="CA267" s="135"/>
      <c r="CB267" s="135"/>
      <c r="CC267" s="135"/>
      <c r="CD267" s="135"/>
      <c r="CE267" s="135"/>
      <c r="CF267" s="135"/>
      <c r="CG267" s="135"/>
      <c r="CH267" s="135"/>
      <c r="CI267" s="135"/>
      <c r="CJ267" s="135"/>
      <c r="CK267" s="135"/>
      <c r="CL267" s="135"/>
      <c r="CM267" s="135"/>
      <c r="CN267" s="135"/>
      <c r="CO267" s="135"/>
      <c r="CP267" s="135"/>
      <c r="CQ267" s="135"/>
      <c r="CR267" s="135"/>
      <c r="CS267" s="135"/>
      <c r="CT267" s="135"/>
      <c r="CU267" s="135"/>
      <c r="CV267" s="135"/>
      <c r="CW267" s="135"/>
      <c r="CX267" s="135"/>
      <c r="CY267" s="135"/>
      <c r="CZ267" s="135"/>
      <c r="DA267" s="135"/>
      <c r="DB267" s="135"/>
      <c r="DC267" s="135"/>
      <c r="DD267" s="135"/>
      <c r="DE267" s="135"/>
      <c r="DF267" s="135"/>
      <c r="DG267" s="135"/>
      <c r="DH267" s="135"/>
      <c r="DI267" s="135"/>
      <c r="DJ267" s="135"/>
      <c r="DK267" s="135"/>
      <c r="DL267" s="135"/>
      <c r="DM267" s="135"/>
      <c r="DN267" s="135"/>
      <c r="DO267" s="135"/>
      <c r="DP267" s="135"/>
      <c r="DQ267" s="135"/>
      <c r="DR267" s="135"/>
      <c r="DS267" s="135"/>
      <c r="DT267" s="135"/>
      <c r="DU267" s="135"/>
      <c r="DV267" s="135"/>
      <c r="DW267" s="135"/>
      <c r="DX267" s="135"/>
      <c r="DY267" s="135"/>
      <c r="DZ267" s="135"/>
      <c r="EA267" s="135"/>
      <c r="EB267" s="135"/>
      <c r="EC267" s="135"/>
      <c r="ED267" s="135"/>
      <c r="EE267" s="135"/>
      <c r="EF267" s="135"/>
      <c r="EG267" s="135"/>
      <c r="EH267" s="135"/>
      <c r="EI267" s="135"/>
      <c r="EJ267" s="135"/>
      <c r="EK267" s="135"/>
      <c r="EL267" s="135"/>
      <c r="EM267" s="135"/>
      <c r="EN267" s="135"/>
      <c r="EO267" s="135"/>
      <c r="EP267" s="135"/>
      <c r="EQ267" s="135"/>
      <c r="ER267" s="135"/>
      <c r="ES267" s="135"/>
      <c r="ET267" s="135"/>
      <c r="EU267" s="135"/>
      <c r="EV267" s="135"/>
      <c r="EW267" s="135"/>
    </row>
    <row r="268" spans="1:153" s="141" customFormat="1" x14ac:dyDescent="0.2">
      <c r="A268" s="141" t="s">
        <v>2271</v>
      </c>
      <c r="B268" s="134" t="s">
        <v>2272</v>
      </c>
      <c r="C268" s="161" t="s">
        <v>282</v>
      </c>
      <c r="D268" s="163">
        <v>36.785916100000001</v>
      </c>
      <c r="E268" s="163">
        <v>-3.8044830999999699</v>
      </c>
      <c r="F268" s="158">
        <f t="shared" si="18"/>
        <v>7875</v>
      </c>
      <c r="G268" s="164">
        <v>8090</v>
      </c>
      <c r="H268" s="164">
        <v>7660</v>
      </c>
      <c r="I268" s="463" t="s">
        <v>952</v>
      </c>
      <c r="J268" s="498" t="s">
        <v>69</v>
      </c>
      <c r="K268" s="139" t="s">
        <v>1337</v>
      </c>
      <c r="L268" s="140" t="s">
        <v>14</v>
      </c>
      <c r="M268" s="160" t="s">
        <v>2274</v>
      </c>
      <c r="N268" s="134" t="s">
        <v>69</v>
      </c>
      <c r="O268" s="134" t="s">
        <v>69</v>
      </c>
      <c r="P268" s="134" t="s">
        <v>69</v>
      </c>
      <c r="Q268" s="134" t="s">
        <v>69</v>
      </c>
      <c r="R268" s="140"/>
      <c r="S268" s="135"/>
      <c r="T268" s="135"/>
      <c r="U268" s="135"/>
      <c r="V268" s="135"/>
      <c r="W268" s="135"/>
      <c r="X268" s="135"/>
      <c r="Y268" s="135"/>
      <c r="Z268" s="135"/>
      <c r="AA268" s="135"/>
      <c r="AB268" s="135"/>
      <c r="AC268" s="135"/>
      <c r="AD268" s="135"/>
      <c r="AE268" s="135"/>
      <c r="AF268" s="135"/>
      <c r="AG268" s="135"/>
      <c r="AH268" s="135"/>
      <c r="AI268" s="135"/>
      <c r="AJ268" s="135"/>
      <c r="AK268" s="135"/>
      <c r="AL268" s="135"/>
      <c r="AM268" s="135"/>
      <c r="AN268" s="135"/>
      <c r="AO268" s="135"/>
      <c r="AP268" s="135"/>
      <c r="AQ268" s="135"/>
      <c r="AR268" s="135"/>
      <c r="AS268" s="135"/>
      <c r="AT268" s="135"/>
      <c r="AU268" s="135"/>
      <c r="AV268" s="135"/>
      <c r="AW268" s="135"/>
      <c r="AX268" s="135"/>
      <c r="AY268" s="135"/>
      <c r="AZ268" s="135"/>
      <c r="BA268" s="135"/>
      <c r="BB268" s="135"/>
      <c r="BC268" s="135"/>
      <c r="BD268" s="135"/>
      <c r="BE268" s="135"/>
      <c r="BF268" s="135"/>
      <c r="BG268" s="135"/>
      <c r="BH268" s="135"/>
      <c r="BI268" s="135"/>
      <c r="BJ268" s="135"/>
      <c r="BK268" s="135"/>
      <c r="BL268" s="135"/>
      <c r="BM268" s="135"/>
      <c r="BN268" s="135"/>
      <c r="BO268" s="135"/>
      <c r="BP268" s="135"/>
      <c r="BQ268" s="135"/>
      <c r="BR268" s="135"/>
      <c r="BS268" s="135"/>
      <c r="BT268" s="135"/>
      <c r="BU268" s="135"/>
      <c r="BV268" s="135"/>
      <c r="BW268" s="135"/>
      <c r="BX268" s="135"/>
      <c r="BY268" s="135"/>
      <c r="BZ268" s="135"/>
      <c r="CA268" s="135"/>
      <c r="CB268" s="135"/>
      <c r="CC268" s="135"/>
      <c r="CD268" s="135"/>
      <c r="CE268" s="135"/>
      <c r="CF268" s="135"/>
      <c r="CG268" s="135"/>
      <c r="CH268" s="135"/>
      <c r="CI268" s="135"/>
      <c r="CJ268" s="135"/>
      <c r="CK268" s="135"/>
      <c r="CL268" s="135"/>
      <c r="CM268" s="135"/>
      <c r="CN268" s="135"/>
      <c r="CO268" s="135"/>
      <c r="CP268" s="135"/>
      <c r="CQ268" s="135"/>
      <c r="CR268" s="135"/>
      <c r="CS268" s="135"/>
      <c r="CT268" s="135"/>
      <c r="CU268" s="135"/>
      <c r="CV268" s="135"/>
      <c r="CW268" s="135"/>
      <c r="CX268" s="135"/>
      <c r="CY268" s="135"/>
      <c r="CZ268" s="135"/>
      <c r="DA268" s="135"/>
      <c r="DB268" s="135"/>
      <c r="DC268" s="135"/>
      <c r="DD268" s="135"/>
      <c r="DE268" s="135"/>
      <c r="DF268" s="135"/>
      <c r="DG268" s="135"/>
      <c r="DH268" s="135"/>
      <c r="DI268" s="135"/>
      <c r="DJ268" s="135"/>
      <c r="DK268" s="135"/>
      <c r="DL268" s="135"/>
      <c r="DM268" s="135"/>
      <c r="DN268" s="135"/>
      <c r="DO268" s="135"/>
      <c r="DP268" s="135"/>
      <c r="DQ268" s="135"/>
      <c r="DR268" s="135"/>
      <c r="DS268" s="135"/>
      <c r="DT268" s="135"/>
      <c r="DU268" s="135"/>
      <c r="DV268" s="135"/>
      <c r="DW268" s="135"/>
      <c r="DX268" s="135"/>
      <c r="DY268" s="135"/>
      <c r="DZ268" s="135"/>
      <c r="EA268" s="135"/>
      <c r="EB268" s="135"/>
      <c r="EC268" s="135"/>
      <c r="ED268" s="135"/>
      <c r="EE268" s="135"/>
      <c r="EF268" s="135"/>
      <c r="EG268" s="135"/>
      <c r="EH268" s="135"/>
      <c r="EI268" s="135"/>
      <c r="EJ268" s="135"/>
      <c r="EK268" s="135"/>
      <c r="EL268" s="135"/>
      <c r="EM268" s="135"/>
      <c r="EN268" s="135"/>
      <c r="EO268" s="135"/>
      <c r="EP268" s="135"/>
      <c r="EQ268" s="135"/>
      <c r="ER268" s="135"/>
      <c r="ES268" s="135"/>
      <c r="ET268" s="135"/>
      <c r="EU268" s="135"/>
      <c r="EV268" s="135"/>
      <c r="EW268" s="135"/>
    </row>
    <row r="269" spans="1:153" s="141" customFormat="1" x14ac:dyDescent="0.2">
      <c r="A269" s="141" t="s">
        <v>2271</v>
      </c>
      <c r="B269" s="134" t="s">
        <v>2272</v>
      </c>
      <c r="C269" s="161" t="s">
        <v>282</v>
      </c>
      <c r="D269" s="163">
        <v>36.785916100000001</v>
      </c>
      <c r="E269" s="163">
        <v>-3.8044830999999699</v>
      </c>
      <c r="F269" s="158">
        <f t="shared" si="18"/>
        <v>7875</v>
      </c>
      <c r="G269" s="164">
        <v>8090</v>
      </c>
      <c r="H269" s="164">
        <v>7660</v>
      </c>
      <c r="I269" s="463" t="s">
        <v>952</v>
      </c>
      <c r="J269" s="498" t="s">
        <v>69</v>
      </c>
      <c r="K269" s="139" t="s">
        <v>1337</v>
      </c>
      <c r="L269" s="140" t="s">
        <v>2</v>
      </c>
      <c r="M269" s="160" t="s">
        <v>2275</v>
      </c>
      <c r="N269" s="134" t="s">
        <v>69</v>
      </c>
      <c r="O269" s="134" t="s">
        <v>69</v>
      </c>
      <c r="P269" s="134" t="s">
        <v>69</v>
      </c>
      <c r="Q269" s="134" t="s">
        <v>69</v>
      </c>
      <c r="R269" s="140"/>
      <c r="S269" s="135"/>
      <c r="T269" s="135"/>
      <c r="U269" s="135"/>
      <c r="V269" s="135"/>
      <c r="W269" s="135"/>
      <c r="X269" s="135"/>
      <c r="Y269" s="135"/>
      <c r="Z269" s="135"/>
      <c r="AA269" s="135"/>
      <c r="AB269" s="135"/>
      <c r="AC269" s="135"/>
      <c r="AD269" s="135"/>
      <c r="AE269" s="135"/>
      <c r="AF269" s="135"/>
      <c r="AG269" s="135"/>
      <c r="AH269" s="135"/>
      <c r="AI269" s="135"/>
      <c r="AJ269" s="135"/>
      <c r="AK269" s="135"/>
      <c r="AL269" s="135"/>
      <c r="AM269" s="135"/>
      <c r="AN269" s="135"/>
      <c r="AO269" s="135"/>
      <c r="AP269" s="135"/>
      <c r="AQ269" s="135"/>
      <c r="AR269" s="135"/>
      <c r="AS269" s="135"/>
      <c r="AT269" s="135"/>
      <c r="AU269" s="135"/>
      <c r="AV269" s="135"/>
      <c r="AW269" s="135"/>
      <c r="AX269" s="135"/>
      <c r="AY269" s="135"/>
      <c r="AZ269" s="135"/>
      <c r="BA269" s="135"/>
      <c r="BB269" s="135"/>
      <c r="BC269" s="135"/>
      <c r="BD269" s="135"/>
      <c r="BE269" s="135"/>
      <c r="BF269" s="135"/>
      <c r="BG269" s="135"/>
      <c r="BH269" s="135"/>
      <c r="BI269" s="135"/>
      <c r="BJ269" s="135"/>
      <c r="BK269" s="135"/>
      <c r="BL269" s="135"/>
      <c r="BM269" s="135"/>
      <c r="BN269" s="135"/>
      <c r="BO269" s="135"/>
      <c r="BP269" s="135"/>
      <c r="BQ269" s="135"/>
      <c r="BR269" s="135"/>
      <c r="BS269" s="135"/>
      <c r="BT269" s="135"/>
      <c r="BU269" s="135"/>
      <c r="BV269" s="135"/>
      <c r="BW269" s="135"/>
      <c r="BX269" s="135"/>
      <c r="BY269" s="135"/>
      <c r="BZ269" s="135"/>
      <c r="CA269" s="135"/>
      <c r="CB269" s="135"/>
      <c r="CC269" s="135"/>
      <c r="CD269" s="135"/>
      <c r="CE269" s="135"/>
      <c r="CF269" s="135"/>
      <c r="CG269" s="135"/>
      <c r="CH269" s="135"/>
      <c r="CI269" s="135"/>
      <c r="CJ269" s="135"/>
      <c r="CK269" s="135"/>
      <c r="CL269" s="135"/>
      <c r="CM269" s="135"/>
      <c r="CN269" s="135"/>
      <c r="CO269" s="135"/>
      <c r="CP269" s="135"/>
      <c r="CQ269" s="135"/>
      <c r="CR269" s="135"/>
      <c r="CS269" s="135"/>
      <c r="CT269" s="135"/>
      <c r="CU269" s="135"/>
      <c r="CV269" s="135"/>
      <c r="CW269" s="135"/>
      <c r="CX269" s="135"/>
      <c r="CY269" s="135"/>
      <c r="CZ269" s="135"/>
      <c r="DA269" s="135"/>
      <c r="DB269" s="135"/>
      <c r="DC269" s="135"/>
      <c r="DD269" s="135"/>
      <c r="DE269" s="135"/>
      <c r="DF269" s="135"/>
      <c r="DG269" s="135"/>
      <c r="DH269" s="135"/>
      <c r="DI269" s="135"/>
      <c r="DJ269" s="135"/>
      <c r="DK269" s="135"/>
      <c r="DL269" s="135"/>
      <c r="DM269" s="135"/>
      <c r="DN269" s="135"/>
      <c r="DO269" s="135"/>
      <c r="DP269" s="135"/>
      <c r="DQ269" s="135"/>
      <c r="DR269" s="135"/>
      <c r="DS269" s="135"/>
      <c r="DT269" s="135"/>
      <c r="DU269" s="135"/>
      <c r="DV269" s="135"/>
      <c r="DW269" s="135"/>
      <c r="DX269" s="135"/>
      <c r="DY269" s="135"/>
      <c r="DZ269" s="135"/>
      <c r="EA269" s="135"/>
      <c r="EB269" s="135"/>
      <c r="EC269" s="135"/>
      <c r="ED269" s="135"/>
      <c r="EE269" s="135"/>
      <c r="EF269" s="135"/>
      <c r="EG269" s="135"/>
      <c r="EH269" s="135"/>
      <c r="EI269" s="135"/>
      <c r="EJ269" s="135"/>
      <c r="EK269" s="135"/>
      <c r="EL269" s="135"/>
      <c r="EM269" s="135"/>
      <c r="EN269" s="135"/>
      <c r="EO269" s="135"/>
      <c r="EP269" s="135"/>
      <c r="EQ269" s="135"/>
      <c r="ER269" s="135"/>
      <c r="ES269" s="135"/>
      <c r="ET269" s="135"/>
      <c r="EU269" s="135"/>
      <c r="EV269" s="135"/>
      <c r="EW269" s="135"/>
    </row>
    <row r="270" spans="1:153" s="141" customFormat="1" x14ac:dyDescent="0.2">
      <c r="A270" s="141" t="s">
        <v>2504</v>
      </c>
      <c r="B270" s="134" t="s">
        <v>2668</v>
      </c>
      <c r="C270" s="161" t="s">
        <v>282</v>
      </c>
      <c r="D270" s="167">
        <v>58.390999999999998</v>
      </c>
      <c r="E270" s="167">
        <v>13.558</v>
      </c>
      <c r="F270" s="168">
        <v>7924.5</v>
      </c>
      <c r="G270" s="167">
        <v>8238</v>
      </c>
      <c r="H270" s="167">
        <v>7611</v>
      </c>
      <c r="I270" s="467" t="s">
        <v>864</v>
      </c>
      <c r="J270" s="467" t="s">
        <v>2512</v>
      </c>
      <c r="K270" s="139" t="s">
        <v>1696</v>
      </c>
      <c r="L270" s="140" t="s">
        <v>14</v>
      </c>
      <c r="M270" s="166" t="s">
        <v>2666</v>
      </c>
      <c r="N270" s="166" t="s">
        <v>2667</v>
      </c>
      <c r="O270" s="134"/>
      <c r="P270" s="134"/>
      <c r="Q270" s="134"/>
      <c r="R270" s="140"/>
      <c r="S270" s="135"/>
      <c r="T270" s="135"/>
      <c r="U270" s="135"/>
      <c r="V270" s="135"/>
      <c r="W270" s="135"/>
      <c r="X270" s="135"/>
      <c r="Y270" s="135"/>
      <c r="Z270" s="135"/>
      <c r="AA270" s="135"/>
      <c r="AB270" s="135"/>
      <c r="AC270" s="135"/>
      <c r="AD270" s="135"/>
      <c r="AE270" s="135"/>
      <c r="AF270" s="135"/>
      <c r="AG270" s="135"/>
      <c r="AH270" s="135"/>
      <c r="AI270" s="135"/>
      <c r="AJ270" s="135"/>
      <c r="AK270" s="135"/>
      <c r="AL270" s="135"/>
      <c r="AM270" s="135"/>
      <c r="AN270" s="135"/>
      <c r="AO270" s="135"/>
      <c r="AP270" s="135"/>
      <c r="AQ270" s="135"/>
      <c r="AR270" s="135"/>
      <c r="AS270" s="135"/>
      <c r="AT270" s="135"/>
      <c r="AU270" s="135"/>
      <c r="AV270" s="135"/>
      <c r="AW270" s="135"/>
      <c r="AX270" s="135"/>
      <c r="AY270" s="135"/>
      <c r="AZ270" s="135"/>
      <c r="BA270" s="135"/>
      <c r="BB270" s="135"/>
      <c r="BC270" s="135"/>
      <c r="BD270" s="135"/>
      <c r="BE270" s="135"/>
      <c r="BF270" s="135"/>
      <c r="BG270" s="135"/>
      <c r="BH270" s="135"/>
      <c r="BI270" s="135"/>
      <c r="BJ270" s="135"/>
      <c r="BK270" s="135"/>
      <c r="BL270" s="135"/>
      <c r="BM270" s="135"/>
      <c r="BN270" s="135"/>
      <c r="BO270" s="135"/>
      <c r="BP270" s="135"/>
      <c r="BQ270" s="135"/>
      <c r="BR270" s="135"/>
      <c r="BS270" s="135"/>
      <c r="BT270" s="135"/>
      <c r="BU270" s="135"/>
      <c r="BV270" s="135"/>
      <c r="BW270" s="135"/>
      <c r="BX270" s="135"/>
      <c r="BY270" s="135"/>
      <c r="BZ270" s="135"/>
      <c r="CA270" s="135"/>
      <c r="CB270" s="135"/>
      <c r="CC270" s="135"/>
      <c r="CD270" s="135"/>
      <c r="CE270" s="135"/>
      <c r="CF270" s="135"/>
      <c r="CG270" s="135"/>
      <c r="CH270" s="135"/>
      <c r="CI270" s="135"/>
      <c r="CJ270" s="135"/>
      <c r="CK270" s="135"/>
      <c r="CL270" s="135"/>
      <c r="CM270" s="135"/>
      <c r="CN270" s="135"/>
      <c r="CO270" s="135"/>
      <c r="CP270" s="135"/>
      <c r="CQ270" s="135"/>
      <c r="CR270" s="135"/>
      <c r="CS270" s="135"/>
      <c r="CT270" s="135"/>
      <c r="CU270" s="135"/>
      <c r="CV270" s="135"/>
      <c r="CW270" s="135"/>
      <c r="CX270" s="135"/>
      <c r="CY270" s="135"/>
      <c r="CZ270" s="135"/>
      <c r="DA270" s="135"/>
      <c r="DB270" s="135"/>
      <c r="DC270" s="135"/>
      <c r="DD270" s="135"/>
      <c r="DE270" s="135"/>
      <c r="DF270" s="135"/>
      <c r="DG270" s="135"/>
      <c r="DH270" s="135"/>
      <c r="DI270" s="135"/>
      <c r="DJ270" s="135"/>
      <c r="DK270" s="135"/>
      <c r="DL270" s="135"/>
      <c r="DM270" s="135"/>
      <c r="DN270" s="135"/>
      <c r="DO270" s="135"/>
      <c r="DP270" s="135"/>
      <c r="DQ270" s="135"/>
      <c r="DR270" s="135"/>
      <c r="DS270" s="135"/>
      <c r="DT270" s="135"/>
      <c r="DU270" s="135"/>
      <c r="DV270" s="135"/>
      <c r="DW270" s="135"/>
      <c r="DX270" s="135"/>
      <c r="DY270" s="135"/>
      <c r="DZ270" s="135"/>
      <c r="EA270" s="135"/>
      <c r="EB270" s="135"/>
      <c r="EC270" s="135"/>
      <c r="ED270" s="135"/>
      <c r="EE270" s="135"/>
      <c r="EF270" s="135"/>
      <c r="EG270" s="135"/>
      <c r="EH270" s="135"/>
      <c r="EI270" s="135"/>
      <c r="EJ270" s="135"/>
      <c r="EK270" s="135"/>
      <c r="EL270" s="135"/>
      <c r="EM270" s="135"/>
      <c r="EN270" s="135"/>
      <c r="EO270" s="135"/>
      <c r="EP270" s="135"/>
      <c r="EQ270" s="135"/>
      <c r="ER270" s="135"/>
      <c r="ES270" s="135"/>
      <c r="ET270" s="135"/>
      <c r="EU270" s="135"/>
      <c r="EV270" s="135"/>
      <c r="EW270" s="135"/>
    </row>
    <row r="271" spans="1:153" s="141" customFormat="1" x14ac:dyDescent="0.2">
      <c r="A271" s="141" t="s">
        <v>2504</v>
      </c>
      <c r="B271" s="134" t="s">
        <v>2729</v>
      </c>
      <c r="C271" s="161" t="s">
        <v>282</v>
      </c>
      <c r="D271" s="167">
        <v>57.741999999999997</v>
      </c>
      <c r="E271" s="167">
        <v>13.403</v>
      </c>
      <c r="F271" s="168">
        <v>7742.5</v>
      </c>
      <c r="G271" s="167">
        <v>7943</v>
      </c>
      <c r="H271" s="167">
        <v>7542</v>
      </c>
      <c r="I271" s="467" t="s">
        <v>622</v>
      </c>
      <c r="J271" s="467" t="s">
        <v>2512</v>
      </c>
      <c r="K271" s="139" t="s">
        <v>1696</v>
      </c>
      <c r="L271" s="140" t="s">
        <v>14</v>
      </c>
      <c r="M271" s="165" t="s">
        <v>2673</v>
      </c>
      <c r="N271" s="165" t="s">
        <v>2674</v>
      </c>
      <c r="O271" s="134"/>
      <c r="P271" s="134"/>
      <c r="Q271" s="134"/>
      <c r="R271" s="140"/>
      <c r="S271" s="135"/>
      <c r="T271" s="135"/>
      <c r="U271" s="135"/>
      <c r="V271" s="135"/>
      <c r="W271" s="135"/>
      <c r="X271" s="135"/>
      <c r="Y271" s="135"/>
      <c r="Z271" s="135"/>
      <c r="AA271" s="135"/>
      <c r="AB271" s="135"/>
      <c r="AC271" s="135"/>
      <c r="AD271" s="135"/>
      <c r="AE271" s="135"/>
      <c r="AF271" s="135"/>
      <c r="AG271" s="135"/>
      <c r="AH271" s="135"/>
      <c r="AI271" s="135"/>
      <c r="AJ271" s="135"/>
      <c r="AK271" s="135"/>
      <c r="AL271" s="135"/>
      <c r="AM271" s="135"/>
      <c r="AN271" s="135"/>
      <c r="AO271" s="135"/>
      <c r="AP271" s="135"/>
      <c r="AQ271" s="135"/>
      <c r="AR271" s="135"/>
      <c r="AS271" s="135"/>
      <c r="AT271" s="135"/>
      <c r="AU271" s="135"/>
      <c r="AV271" s="135"/>
      <c r="AW271" s="135"/>
      <c r="AX271" s="135"/>
      <c r="AY271" s="135"/>
      <c r="AZ271" s="135"/>
      <c r="BA271" s="135"/>
      <c r="BB271" s="135"/>
      <c r="BC271" s="135"/>
      <c r="BD271" s="135"/>
      <c r="BE271" s="135"/>
      <c r="BF271" s="135"/>
      <c r="BG271" s="135"/>
      <c r="BH271" s="135"/>
      <c r="BI271" s="135"/>
      <c r="BJ271" s="135"/>
      <c r="BK271" s="135"/>
      <c r="BL271" s="135"/>
      <c r="BM271" s="135"/>
      <c r="BN271" s="135"/>
      <c r="BO271" s="135"/>
      <c r="BP271" s="135"/>
      <c r="BQ271" s="135"/>
      <c r="BR271" s="135"/>
      <c r="BS271" s="135"/>
      <c r="BT271" s="135"/>
      <c r="BU271" s="135"/>
      <c r="BV271" s="135"/>
      <c r="BW271" s="135"/>
      <c r="BX271" s="135"/>
      <c r="BY271" s="135"/>
      <c r="BZ271" s="135"/>
      <c r="CA271" s="135"/>
      <c r="CB271" s="135"/>
      <c r="CC271" s="135"/>
      <c r="CD271" s="135"/>
      <c r="CE271" s="135"/>
      <c r="CF271" s="135"/>
      <c r="CG271" s="135"/>
      <c r="CH271" s="135"/>
      <c r="CI271" s="135"/>
      <c r="CJ271" s="135"/>
      <c r="CK271" s="135"/>
      <c r="CL271" s="135"/>
      <c r="CM271" s="135"/>
      <c r="CN271" s="135"/>
      <c r="CO271" s="135"/>
      <c r="CP271" s="135"/>
      <c r="CQ271" s="135"/>
      <c r="CR271" s="135"/>
      <c r="CS271" s="135"/>
      <c r="CT271" s="135"/>
      <c r="CU271" s="135"/>
      <c r="CV271" s="135"/>
      <c r="CW271" s="135"/>
      <c r="CX271" s="135"/>
      <c r="CY271" s="135"/>
      <c r="CZ271" s="135"/>
      <c r="DA271" s="135"/>
      <c r="DB271" s="135"/>
      <c r="DC271" s="135"/>
      <c r="DD271" s="135"/>
      <c r="DE271" s="135"/>
      <c r="DF271" s="135"/>
      <c r="DG271" s="135"/>
      <c r="DH271" s="135"/>
      <c r="DI271" s="135"/>
      <c r="DJ271" s="135"/>
      <c r="DK271" s="135"/>
      <c r="DL271" s="135"/>
      <c r="DM271" s="135"/>
      <c r="DN271" s="135"/>
      <c r="DO271" s="135"/>
      <c r="DP271" s="135"/>
      <c r="DQ271" s="135"/>
      <c r="DR271" s="135"/>
      <c r="DS271" s="135"/>
      <c r="DT271" s="135"/>
      <c r="DU271" s="135"/>
      <c r="DV271" s="135"/>
      <c r="DW271" s="135"/>
      <c r="DX271" s="135"/>
      <c r="DY271" s="135"/>
      <c r="DZ271" s="135"/>
      <c r="EA271" s="135"/>
      <c r="EB271" s="135"/>
      <c r="EC271" s="135"/>
      <c r="ED271" s="135"/>
      <c r="EE271" s="135"/>
      <c r="EF271" s="135"/>
      <c r="EG271" s="135"/>
      <c r="EH271" s="135"/>
      <c r="EI271" s="135"/>
      <c r="EJ271" s="135"/>
      <c r="EK271" s="135"/>
      <c r="EL271" s="135"/>
      <c r="EM271" s="135"/>
      <c r="EN271" s="135"/>
      <c r="EO271" s="135"/>
      <c r="EP271" s="135"/>
      <c r="EQ271" s="135"/>
      <c r="ER271" s="135"/>
      <c r="ES271" s="135"/>
      <c r="ET271" s="135"/>
      <c r="EU271" s="135"/>
      <c r="EV271" s="135"/>
      <c r="EW271" s="135"/>
    </row>
    <row r="272" spans="1:153" s="141" customFormat="1" x14ac:dyDescent="0.2">
      <c r="A272" s="141" t="s">
        <v>2504</v>
      </c>
      <c r="B272" s="134" t="s">
        <v>2730</v>
      </c>
      <c r="C272" s="161" t="s">
        <v>282</v>
      </c>
      <c r="D272" s="167">
        <v>55.386000000000003</v>
      </c>
      <c r="E272" s="167">
        <v>13.481</v>
      </c>
      <c r="F272" s="168">
        <v>-4956.5</v>
      </c>
      <c r="G272" s="167">
        <v>-5198</v>
      </c>
      <c r="H272" s="167">
        <v>-4715</v>
      </c>
      <c r="I272" s="467" t="s">
        <v>1608</v>
      </c>
      <c r="J272" s="463" t="s">
        <v>69</v>
      </c>
      <c r="K272" s="139" t="s">
        <v>1438</v>
      </c>
      <c r="L272" s="140" t="s">
        <v>2</v>
      </c>
      <c r="M272" s="165" t="s">
        <v>2731</v>
      </c>
      <c r="N272" s="165" t="s">
        <v>2732</v>
      </c>
      <c r="O272" s="134"/>
      <c r="P272" s="134"/>
      <c r="Q272" s="134"/>
      <c r="R272" s="134" t="s">
        <v>4328</v>
      </c>
      <c r="S272" s="135"/>
      <c r="T272" s="135"/>
      <c r="U272" s="135"/>
      <c r="V272" s="135"/>
      <c r="W272" s="135"/>
      <c r="X272" s="135"/>
      <c r="Y272" s="135"/>
      <c r="Z272" s="135"/>
      <c r="AA272" s="135"/>
      <c r="AB272" s="135"/>
      <c r="AC272" s="135"/>
      <c r="AD272" s="135"/>
      <c r="AE272" s="135"/>
      <c r="AF272" s="135"/>
      <c r="AG272" s="135"/>
      <c r="AH272" s="135"/>
      <c r="AI272" s="135"/>
      <c r="AJ272" s="135"/>
      <c r="AK272" s="135"/>
      <c r="AL272" s="135"/>
      <c r="AM272" s="135"/>
      <c r="AN272" s="135"/>
      <c r="AO272" s="135"/>
      <c r="AP272" s="135"/>
      <c r="AQ272" s="135"/>
      <c r="AR272" s="135"/>
      <c r="AS272" s="135"/>
      <c r="AT272" s="135"/>
      <c r="AU272" s="135"/>
      <c r="AV272" s="135"/>
      <c r="AW272" s="135"/>
      <c r="AX272" s="135"/>
      <c r="AY272" s="135"/>
      <c r="AZ272" s="135"/>
      <c r="BA272" s="135"/>
      <c r="BB272" s="135"/>
      <c r="BC272" s="135"/>
      <c r="BD272" s="135"/>
      <c r="BE272" s="135"/>
      <c r="BF272" s="135"/>
      <c r="BG272" s="135"/>
      <c r="BH272" s="135"/>
      <c r="BI272" s="135"/>
      <c r="BJ272" s="135"/>
      <c r="BK272" s="135"/>
      <c r="BL272" s="135"/>
      <c r="BM272" s="135"/>
      <c r="BN272" s="135"/>
      <c r="BO272" s="135"/>
      <c r="BP272" s="135"/>
      <c r="BQ272" s="135"/>
      <c r="BR272" s="135"/>
      <c r="BS272" s="135"/>
      <c r="BT272" s="135"/>
      <c r="BU272" s="135"/>
      <c r="BV272" s="135"/>
      <c r="BW272" s="135"/>
      <c r="BX272" s="135"/>
      <c r="BY272" s="135"/>
      <c r="BZ272" s="135"/>
      <c r="CA272" s="135"/>
      <c r="CB272" s="135"/>
      <c r="CC272" s="135"/>
      <c r="CD272" s="135"/>
      <c r="CE272" s="135"/>
      <c r="CF272" s="135"/>
      <c r="CG272" s="135"/>
      <c r="CH272" s="135"/>
      <c r="CI272" s="135"/>
      <c r="CJ272" s="135"/>
      <c r="CK272" s="135"/>
      <c r="CL272" s="135"/>
      <c r="CM272" s="135"/>
      <c r="CN272" s="135"/>
      <c r="CO272" s="135"/>
      <c r="CP272" s="135"/>
      <c r="CQ272" s="135"/>
      <c r="CR272" s="135"/>
      <c r="CS272" s="135"/>
      <c r="CT272" s="135"/>
      <c r="CU272" s="135"/>
      <c r="CV272" s="135"/>
      <c r="CW272" s="135"/>
      <c r="CX272" s="135"/>
      <c r="CY272" s="135"/>
      <c r="CZ272" s="135"/>
      <c r="DA272" s="135"/>
      <c r="DB272" s="135"/>
      <c r="DC272" s="135"/>
      <c r="DD272" s="135"/>
      <c r="DE272" s="135"/>
      <c r="DF272" s="135"/>
      <c r="DG272" s="135"/>
      <c r="DH272" s="135"/>
      <c r="DI272" s="135"/>
      <c r="DJ272" s="135"/>
      <c r="DK272" s="135"/>
      <c r="DL272" s="135"/>
      <c r="DM272" s="135"/>
      <c r="DN272" s="135"/>
      <c r="DO272" s="135"/>
      <c r="DP272" s="135"/>
      <c r="DQ272" s="135"/>
      <c r="DR272" s="135"/>
      <c r="DS272" s="135"/>
      <c r="DT272" s="135"/>
      <c r="DU272" s="135"/>
      <c r="DV272" s="135"/>
      <c r="DW272" s="135"/>
      <c r="DX272" s="135"/>
      <c r="DY272" s="135"/>
      <c r="DZ272" s="135"/>
      <c r="EA272" s="135"/>
      <c r="EB272" s="135"/>
      <c r="EC272" s="135"/>
      <c r="ED272" s="135"/>
      <c r="EE272" s="135"/>
      <c r="EF272" s="135"/>
      <c r="EG272" s="135"/>
      <c r="EH272" s="135"/>
      <c r="EI272" s="135"/>
      <c r="EJ272" s="135"/>
      <c r="EK272" s="135"/>
      <c r="EL272" s="135"/>
      <c r="EM272" s="135"/>
      <c r="EN272" s="135"/>
      <c r="EO272" s="135"/>
      <c r="EP272" s="135"/>
      <c r="EQ272" s="135"/>
      <c r="ER272" s="135"/>
      <c r="ES272" s="135"/>
      <c r="ET272" s="135"/>
      <c r="EU272" s="135"/>
      <c r="EV272" s="135"/>
      <c r="EW272" s="135"/>
    </row>
    <row r="273" spans="1:153" s="141" customFormat="1" x14ac:dyDescent="0.2">
      <c r="A273" s="141" t="s">
        <v>2082</v>
      </c>
      <c r="B273" s="134" t="s">
        <v>2083</v>
      </c>
      <c r="C273" s="135" t="s">
        <v>2084</v>
      </c>
      <c r="D273" s="136">
        <v>47.011707399999999</v>
      </c>
      <c r="E273" s="136">
        <v>7.2505417000000003</v>
      </c>
      <c r="F273" s="137">
        <v>4395</v>
      </c>
      <c r="G273" s="138">
        <v>4449</v>
      </c>
      <c r="H273" s="138">
        <v>4341</v>
      </c>
      <c r="I273" s="463" t="s">
        <v>82</v>
      </c>
      <c r="J273" s="463" t="s">
        <v>69</v>
      </c>
      <c r="K273" s="139" t="s">
        <v>2085</v>
      </c>
      <c r="L273" s="140" t="s">
        <v>69</v>
      </c>
      <c r="M273" s="141" t="s">
        <v>2086</v>
      </c>
      <c r="N273" s="134" t="s">
        <v>69</v>
      </c>
      <c r="O273" s="134" t="s">
        <v>69</v>
      </c>
      <c r="P273" s="134" t="s">
        <v>69</v>
      </c>
      <c r="Q273" s="134" t="s">
        <v>69</v>
      </c>
      <c r="R273" s="140"/>
      <c r="S273" s="135"/>
      <c r="T273" s="135"/>
      <c r="V273" s="149"/>
      <c r="Y273" s="134"/>
      <c r="Z273" s="134"/>
    </row>
    <row r="274" spans="1:153" s="141" customFormat="1" x14ac:dyDescent="0.2">
      <c r="A274" s="141" t="s">
        <v>2087</v>
      </c>
      <c r="B274" s="134" t="s">
        <v>2088</v>
      </c>
      <c r="C274" s="135" t="s">
        <v>2084</v>
      </c>
      <c r="D274" s="136">
        <v>47.01</v>
      </c>
      <c r="E274" s="136">
        <v>6.79</v>
      </c>
      <c r="F274" s="137">
        <f>(G274+H274)/2</f>
        <v>11715</v>
      </c>
      <c r="G274" s="138">
        <v>11820</v>
      </c>
      <c r="H274" s="138">
        <v>11610</v>
      </c>
      <c r="I274" s="463" t="s">
        <v>2089</v>
      </c>
      <c r="J274" s="463">
        <v>12</v>
      </c>
      <c r="K274" s="139" t="s">
        <v>2090</v>
      </c>
      <c r="L274" s="140" t="s">
        <v>14</v>
      </c>
      <c r="M274" s="141" t="s">
        <v>2091</v>
      </c>
      <c r="N274" s="134" t="s">
        <v>69</v>
      </c>
      <c r="O274" s="134" t="s">
        <v>69</v>
      </c>
      <c r="P274" s="134" t="s">
        <v>69</v>
      </c>
      <c r="Q274" s="134" t="s">
        <v>69</v>
      </c>
      <c r="R274" s="140"/>
      <c r="S274" s="135"/>
      <c r="T274" s="135"/>
      <c r="V274" s="149"/>
      <c r="Y274" s="134"/>
      <c r="Z274" s="134"/>
    </row>
    <row r="275" spans="1:153" s="141" customFormat="1" x14ac:dyDescent="0.2">
      <c r="A275" s="141" t="s">
        <v>686</v>
      </c>
      <c r="B275" s="134" t="s">
        <v>2092</v>
      </c>
      <c r="C275" s="135" t="s">
        <v>309</v>
      </c>
      <c r="D275" s="136">
        <v>37.494</v>
      </c>
      <c r="E275" s="136">
        <v>33.018999999999998</v>
      </c>
      <c r="F275" s="137">
        <f>(G275+H275)/2</f>
        <v>13357.5</v>
      </c>
      <c r="G275" s="138">
        <v>13642</v>
      </c>
      <c r="H275" s="138">
        <v>13073</v>
      </c>
      <c r="I275" s="466" t="s">
        <v>4342</v>
      </c>
      <c r="J275" s="463" t="s">
        <v>147</v>
      </c>
      <c r="K275" s="139" t="s">
        <v>2093</v>
      </c>
      <c r="L275" s="140" t="s">
        <v>14</v>
      </c>
      <c r="M275" s="141" t="s">
        <v>2094</v>
      </c>
      <c r="N275" s="134" t="s">
        <v>2095</v>
      </c>
      <c r="O275" s="134" t="s">
        <v>69</v>
      </c>
      <c r="P275" s="134" t="s">
        <v>69</v>
      </c>
      <c r="Q275" s="134" t="s">
        <v>69</v>
      </c>
      <c r="R275" s="478" t="s">
        <v>4343</v>
      </c>
      <c r="S275" s="135"/>
      <c r="T275" s="135"/>
      <c r="V275" s="149"/>
      <c r="Y275" s="134"/>
      <c r="Z275" s="134"/>
    </row>
    <row r="276" spans="1:153" s="299" customFormat="1" ht="12" customHeight="1" x14ac:dyDescent="0.25">
      <c r="A276" s="285"/>
      <c r="B276" s="295"/>
      <c r="C276" s="301"/>
      <c r="D276" s="296"/>
      <c r="E276" s="296"/>
      <c r="F276" s="293"/>
      <c r="G276" s="291"/>
      <c r="H276" s="291"/>
      <c r="I276" s="473"/>
      <c r="J276" s="398"/>
      <c r="K276" s="139"/>
      <c r="L276" s="298"/>
      <c r="M276" s="292"/>
      <c r="N276" s="297"/>
      <c r="O276" s="300"/>
      <c r="P276" s="300"/>
      <c r="Q276" s="300"/>
      <c r="R276" s="298"/>
      <c r="S276" s="300"/>
      <c r="T276" s="300"/>
      <c r="U276" s="300"/>
      <c r="V276" s="300"/>
      <c r="W276" s="300"/>
      <c r="X276" s="300"/>
      <c r="Y276" s="300"/>
      <c r="Z276" s="300"/>
      <c r="AA276" s="300"/>
      <c r="AB276" s="300"/>
      <c r="AC276" s="300"/>
      <c r="AD276" s="300"/>
      <c r="AE276" s="300"/>
      <c r="AF276" s="300"/>
      <c r="AG276" s="300"/>
      <c r="AH276" s="300"/>
      <c r="AI276" s="300"/>
      <c r="AJ276" s="300"/>
      <c r="AK276" s="300"/>
      <c r="AL276" s="300"/>
      <c r="AM276" s="300"/>
      <c r="AN276" s="300"/>
      <c r="AO276" s="300"/>
      <c r="AP276" s="300"/>
      <c r="AQ276" s="300"/>
      <c r="AR276" s="300"/>
      <c r="AS276" s="300"/>
      <c r="AT276" s="300"/>
      <c r="AU276" s="300"/>
      <c r="AV276" s="300"/>
      <c r="AW276" s="300"/>
      <c r="AX276" s="300"/>
      <c r="AY276" s="300"/>
      <c r="AZ276" s="300"/>
      <c r="BA276" s="300"/>
      <c r="BB276" s="300"/>
      <c r="BC276" s="300"/>
      <c r="BD276" s="300"/>
      <c r="BE276" s="300"/>
      <c r="BF276" s="300"/>
      <c r="BG276" s="300"/>
      <c r="BH276" s="300"/>
      <c r="BI276" s="300"/>
      <c r="BJ276" s="300"/>
      <c r="BK276" s="300"/>
      <c r="BL276" s="300"/>
      <c r="BM276" s="300"/>
      <c r="BN276" s="300"/>
      <c r="BO276" s="300"/>
      <c r="BP276" s="300"/>
      <c r="BQ276" s="300"/>
      <c r="BR276" s="300"/>
      <c r="BS276" s="300"/>
      <c r="BT276" s="300"/>
      <c r="BU276" s="300"/>
      <c r="BV276" s="300"/>
      <c r="BW276" s="300"/>
      <c r="BX276" s="300"/>
      <c r="BY276" s="300"/>
      <c r="BZ276" s="300"/>
      <c r="CA276" s="300"/>
      <c r="CB276" s="300"/>
      <c r="CC276" s="300"/>
      <c r="CD276" s="300"/>
      <c r="CE276" s="300"/>
      <c r="CF276" s="300"/>
      <c r="CG276" s="300"/>
      <c r="CH276" s="300"/>
      <c r="CI276" s="300"/>
      <c r="CJ276" s="300"/>
      <c r="CK276" s="300"/>
      <c r="CL276" s="300"/>
      <c r="CM276" s="300"/>
      <c r="CN276" s="300"/>
      <c r="CO276" s="300"/>
      <c r="CP276" s="300"/>
      <c r="CQ276" s="300"/>
      <c r="CR276" s="300"/>
      <c r="CS276" s="300"/>
      <c r="CT276" s="300"/>
      <c r="CU276" s="300"/>
      <c r="CV276" s="300"/>
      <c r="CW276" s="300"/>
      <c r="CX276" s="300"/>
      <c r="CY276" s="300"/>
      <c r="CZ276" s="300"/>
      <c r="DA276" s="300"/>
      <c r="DB276" s="300"/>
      <c r="DC276" s="300"/>
      <c r="DD276" s="300"/>
      <c r="DE276" s="300"/>
      <c r="DF276" s="300"/>
      <c r="DG276" s="300"/>
      <c r="DH276" s="300"/>
      <c r="DI276" s="300"/>
      <c r="DJ276" s="300"/>
      <c r="DK276" s="300"/>
      <c r="DL276" s="300"/>
      <c r="DM276" s="300"/>
      <c r="DN276" s="300"/>
      <c r="DO276" s="300"/>
      <c r="DP276" s="300"/>
      <c r="DQ276" s="300"/>
      <c r="DR276" s="300"/>
      <c r="DS276" s="300"/>
      <c r="DT276" s="300"/>
      <c r="DU276" s="300"/>
      <c r="DV276" s="300"/>
      <c r="DW276" s="300"/>
    </row>
    <row r="277" spans="1:153" s="141" customFormat="1" ht="15" x14ac:dyDescent="0.25">
      <c r="A277" s="454" t="s">
        <v>4303</v>
      </c>
      <c r="B277" s="150"/>
      <c r="C277" s="453"/>
      <c r="D277" s="456"/>
      <c r="E277" s="456"/>
      <c r="F277" s="457"/>
      <c r="G277" s="457"/>
      <c r="H277" s="457"/>
      <c r="I277" s="466"/>
      <c r="J277" s="466"/>
      <c r="K277" s="150"/>
      <c r="L277" s="458"/>
      <c r="M277" s="173"/>
      <c r="N277" s="139"/>
      <c r="O277" s="139"/>
      <c r="P277" s="139"/>
      <c r="Q277" s="139"/>
      <c r="R277" s="154"/>
      <c r="S277" s="153"/>
      <c r="T277" s="153"/>
      <c r="U277" s="135"/>
      <c r="V277" s="135"/>
      <c r="W277" s="135"/>
      <c r="X277" s="135"/>
      <c r="Y277" s="135"/>
      <c r="Z277" s="135"/>
      <c r="AA277" s="135"/>
      <c r="AB277" s="135"/>
      <c r="AC277" s="135"/>
      <c r="AD277" s="135"/>
      <c r="AE277" s="135"/>
      <c r="AF277" s="135"/>
      <c r="AG277" s="135"/>
      <c r="AH277" s="135"/>
      <c r="AI277" s="135"/>
      <c r="AJ277" s="135"/>
      <c r="AK277" s="135"/>
      <c r="AL277" s="135"/>
      <c r="AM277" s="135"/>
      <c r="AN277" s="135"/>
      <c r="AO277" s="135"/>
      <c r="AP277" s="135"/>
      <c r="AQ277" s="135"/>
      <c r="AR277" s="135"/>
      <c r="AS277" s="135"/>
      <c r="AT277" s="135"/>
      <c r="AU277" s="135"/>
      <c r="AV277" s="135"/>
      <c r="AW277" s="135"/>
      <c r="AX277" s="135"/>
      <c r="AY277" s="135"/>
      <c r="AZ277" s="135"/>
      <c r="BA277" s="135"/>
      <c r="BB277" s="135"/>
      <c r="BC277" s="135"/>
      <c r="BD277" s="135"/>
      <c r="BE277" s="135"/>
      <c r="BF277" s="135"/>
      <c r="BG277" s="135"/>
      <c r="BH277" s="135"/>
      <c r="BI277" s="135"/>
      <c r="BJ277" s="135"/>
      <c r="BK277" s="135"/>
      <c r="BL277" s="135"/>
      <c r="BM277" s="135"/>
      <c r="BN277" s="135"/>
      <c r="BO277" s="135"/>
      <c r="BP277" s="135"/>
      <c r="BQ277" s="135"/>
      <c r="BR277" s="135"/>
      <c r="BS277" s="135"/>
      <c r="BT277" s="135"/>
      <c r="BU277" s="135"/>
      <c r="BV277" s="135"/>
      <c r="BW277" s="135"/>
      <c r="BX277" s="135"/>
      <c r="BY277" s="135"/>
      <c r="BZ277" s="135"/>
      <c r="CA277" s="135"/>
      <c r="CB277" s="135"/>
      <c r="CC277" s="135"/>
      <c r="CD277" s="135"/>
      <c r="CE277" s="135"/>
      <c r="CF277" s="135"/>
      <c r="CG277" s="135"/>
      <c r="CH277" s="135"/>
      <c r="CI277" s="135"/>
      <c r="CJ277" s="135"/>
      <c r="CK277" s="135"/>
      <c r="CL277" s="135"/>
      <c r="CM277" s="135"/>
      <c r="CN277" s="135"/>
      <c r="CO277" s="135"/>
      <c r="CP277" s="135"/>
      <c r="CQ277" s="135"/>
      <c r="CR277" s="135"/>
      <c r="CS277" s="135"/>
      <c r="CT277" s="135"/>
      <c r="CU277" s="135"/>
      <c r="CV277" s="135"/>
      <c r="CW277" s="135"/>
      <c r="CX277" s="135"/>
      <c r="CY277" s="135"/>
      <c r="CZ277" s="135"/>
      <c r="DA277" s="135"/>
      <c r="DB277" s="135"/>
      <c r="DC277" s="135"/>
      <c r="DD277" s="135"/>
      <c r="DE277" s="135"/>
      <c r="DF277" s="135"/>
      <c r="DG277" s="135"/>
      <c r="DH277" s="135"/>
      <c r="DI277" s="135"/>
      <c r="DJ277" s="135"/>
      <c r="DK277" s="135"/>
      <c r="DL277" s="135"/>
      <c r="DM277" s="135"/>
      <c r="DN277" s="135"/>
      <c r="DO277" s="135"/>
      <c r="DP277" s="135"/>
      <c r="DQ277" s="135"/>
      <c r="DR277" s="135"/>
      <c r="DS277" s="135"/>
      <c r="DT277" s="135"/>
      <c r="DU277" s="135"/>
      <c r="DV277" s="135"/>
      <c r="DW277" s="135"/>
      <c r="DX277" s="135"/>
      <c r="DY277" s="135"/>
      <c r="DZ277" s="135"/>
      <c r="EA277" s="135"/>
      <c r="EB277" s="135"/>
      <c r="EC277" s="135"/>
      <c r="ED277" s="135"/>
      <c r="EE277" s="135"/>
      <c r="EF277" s="135"/>
      <c r="EG277" s="135"/>
      <c r="EH277" s="135"/>
      <c r="EI277" s="135"/>
      <c r="EJ277" s="135"/>
      <c r="EK277" s="135"/>
      <c r="EL277" s="135"/>
      <c r="EM277" s="135"/>
      <c r="EN277" s="135"/>
      <c r="EO277" s="135"/>
      <c r="EP277" s="135"/>
      <c r="EQ277" s="135"/>
      <c r="ER277" s="135"/>
      <c r="ES277" s="135"/>
      <c r="ET277" s="135"/>
      <c r="EU277" s="135"/>
      <c r="EV277" s="135"/>
      <c r="EW277" s="135"/>
    </row>
    <row r="278" spans="1:153" s="141" customFormat="1" ht="15" x14ac:dyDescent="0.25">
      <c r="A278" s="454" t="s">
        <v>4304</v>
      </c>
      <c r="B278" s="150"/>
      <c r="C278" s="453"/>
      <c r="D278" s="456"/>
      <c r="E278" s="456"/>
      <c r="F278" s="457"/>
      <c r="G278" s="457"/>
      <c r="H278" s="457"/>
      <c r="I278" s="466"/>
      <c r="J278" s="466"/>
      <c r="K278" s="150"/>
      <c r="L278" s="458"/>
      <c r="M278" s="173"/>
      <c r="N278" s="139"/>
      <c r="O278" s="139"/>
      <c r="P278" s="139"/>
      <c r="Q278" s="139"/>
      <c r="R278" s="154"/>
      <c r="S278" s="153"/>
      <c r="T278" s="153"/>
      <c r="U278" s="135"/>
      <c r="V278" s="135"/>
      <c r="W278" s="135"/>
      <c r="X278" s="135"/>
      <c r="Y278" s="135"/>
      <c r="Z278" s="135"/>
      <c r="AA278" s="135"/>
      <c r="AB278" s="135"/>
      <c r="AC278" s="135"/>
      <c r="AD278" s="135"/>
      <c r="AE278" s="135"/>
      <c r="AF278" s="135"/>
      <c r="AG278" s="135"/>
      <c r="AH278" s="135"/>
      <c r="AI278" s="135"/>
      <c r="AJ278" s="135"/>
      <c r="AK278" s="135"/>
      <c r="AL278" s="135"/>
      <c r="AM278" s="135"/>
      <c r="AN278" s="135"/>
      <c r="AO278" s="135"/>
      <c r="AP278" s="135"/>
      <c r="AQ278" s="135"/>
      <c r="AR278" s="135"/>
      <c r="AS278" s="135"/>
      <c r="AT278" s="135"/>
      <c r="AU278" s="135"/>
      <c r="AV278" s="135"/>
      <c r="AW278" s="135"/>
      <c r="AX278" s="135"/>
      <c r="AY278" s="135"/>
      <c r="AZ278" s="135"/>
      <c r="BA278" s="135"/>
      <c r="BB278" s="135"/>
      <c r="BC278" s="135"/>
      <c r="BD278" s="135"/>
      <c r="BE278" s="135"/>
      <c r="BF278" s="135"/>
      <c r="BG278" s="135"/>
      <c r="BH278" s="135"/>
      <c r="BI278" s="135"/>
      <c r="BJ278" s="135"/>
      <c r="BK278" s="135"/>
      <c r="BL278" s="135"/>
      <c r="BM278" s="135"/>
      <c r="BN278" s="135"/>
      <c r="BO278" s="135"/>
      <c r="BP278" s="135"/>
      <c r="BQ278" s="135"/>
      <c r="BR278" s="135"/>
      <c r="BS278" s="135"/>
      <c r="BT278" s="135"/>
      <c r="BU278" s="135"/>
      <c r="BV278" s="135"/>
      <c r="BW278" s="135"/>
      <c r="BX278" s="135"/>
      <c r="BY278" s="135"/>
      <c r="BZ278" s="135"/>
      <c r="CA278" s="135"/>
      <c r="CB278" s="135"/>
      <c r="CC278" s="135"/>
      <c r="CD278" s="135"/>
      <c r="CE278" s="135"/>
      <c r="CF278" s="135"/>
      <c r="CG278" s="135"/>
      <c r="CH278" s="135"/>
      <c r="CI278" s="135"/>
      <c r="CJ278" s="135"/>
      <c r="CK278" s="135"/>
      <c r="CL278" s="135"/>
      <c r="CM278" s="135"/>
      <c r="CN278" s="135"/>
      <c r="CO278" s="135"/>
      <c r="CP278" s="135"/>
      <c r="CQ278" s="135"/>
      <c r="CR278" s="135"/>
      <c r="CS278" s="135"/>
      <c r="CT278" s="135"/>
      <c r="CU278" s="135"/>
      <c r="CV278" s="135"/>
      <c r="CW278" s="135"/>
      <c r="CX278" s="135"/>
      <c r="CY278" s="135"/>
      <c r="CZ278" s="135"/>
      <c r="DA278" s="135"/>
      <c r="DB278" s="135"/>
      <c r="DC278" s="135"/>
      <c r="DD278" s="135"/>
      <c r="DE278" s="135"/>
      <c r="DF278" s="135"/>
      <c r="DG278" s="135"/>
      <c r="DH278" s="135"/>
      <c r="DI278" s="135"/>
      <c r="DJ278" s="135"/>
      <c r="DK278" s="135"/>
      <c r="DL278" s="135"/>
      <c r="DM278" s="135"/>
      <c r="DN278" s="135"/>
      <c r="DO278" s="135"/>
      <c r="DP278" s="135"/>
      <c r="DQ278" s="135"/>
      <c r="DR278" s="135"/>
      <c r="DS278" s="135"/>
      <c r="DT278" s="135"/>
      <c r="DU278" s="135"/>
      <c r="DV278" s="135"/>
      <c r="DW278" s="135"/>
      <c r="DX278" s="135"/>
      <c r="DY278" s="135"/>
      <c r="DZ278" s="135"/>
      <c r="EA278" s="135"/>
      <c r="EB278" s="135"/>
      <c r="EC278" s="135"/>
      <c r="ED278" s="135"/>
      <c r="EE278" s="135"/>
      <c r="EF278" s="135"/>
      <c r="EG278" s="135"/>
      <c r="EH278" s="135"/>
      <c r="EI278" s="135"/>
      <c r="EJ278" s="135"/>
      <c r="EK278" s="135"/>
      <c r="EL278" s="135"/>
      <c r="EM278" s="135"/>
      <c r="EN278" s="135"/>
      <c r="EO278" s="135"/>
      <c r="EP278" s="135"/>
      <c r="EQ278" s="135"/>
      <c r="ER278" s="135"/>
      <c r="ES278" s="135"/>
      <c r="ET278" s="135"/>
      <c r="EU278" s="135"/>
      <c r="EV278" s="135"/>
      <c r="EW278" s="135"/>
    </row>
    <row r="279" spans="1:153" s="141" customFormat="1" ht="15" x14ac:dyDescent="0.25">
      <c r="A279" s="459" t="s">
        <v>4305</v>
      </c>
      <c r="B279" s="150"/>
      <c r="C279" s="453"/>
      <c r="D279" s="456"/>
      <c r="E279" s="456"/>
      <c r="F279" s="457"/>
      <c r="G279" s="457"/>
      <c r="H279" s="457"/>
      <c r="I279" s="466"/>
      <c r="J279" s="466"/>
      <c r="K279" s="150"/>
      <c r="L279" s="458"/>
      <c r="M279" s="173"/>
      <c r="N279" s="139"/>
      <c r="O279" s="139"/>
      <c r="P279" s="139"/>
      <c r="Q279" s="139"/>
      <c r="R279" s="154"/>
      <c r="S279" s="153"/>
      <c r="T279" s="153"/>
      <c r="U279" s="135"/>
      <c r="V279" s="135"/>
      <c r="W279" s="135"/>
      <c r="X279" s="135"/>
      <c r="Y279" s="135"/>
      <c r="Z279" s="135"/>
      <c r="AA279" s="135"/>
      <c r="AB279" s="135"/>
      <c r="AC279" s="135"/>
      <c r="AD279" s="135"/>
      <c r="AE279" s="135"/>
      <c r="AF279" s="135"/>
      <c r="AG279" s="135"/>
      <c r="AH279" s="135"/>
      <c r="AI279" s="135"/>
      <c r="AJ279" s="135"/>
      <c r="AK279" s="135"/>
      <c r="AL279" s="135"/>
      <c r="AM279" s="135"/>
      <c r="AN279" s="135"/>
      <c r="AO279" s="135"/>
      <c r="AP279" s="135"/>
      <c r="AQ279" s="135"/>
      <c r="AR279" s="135"/>
      <c r="AS279" s="135"/>
      <c r="AT279" s="135"/>
      <c r="AU279" s="135"/>
      <c r="AV279" s="135"/>
      <c r="AW279" s="135"/>
      <c r="AX279" s="135"/>
      <c r="AY279" s="135"/>
      <c r="AZ279" s="135"/>
      <c r="BA279" s="135"/>
      <c r="BB279" s="135"/>
      <c r="BC279" s="135"/>
      <c r="BD279" s="135"/>
      <c r="BE279" s="135"/>
      <c r="BF279" s="135"/>
      <c r="BG279" s="135"/>
      <c r="BH279" s="135"/>
      <c r="BI279" s="135"/>
      <c r="BJ279" s="135"/>
      <c r="BK279" s="135"/>
      <c r="BL279" s="135"/>
      <c r="BM279" s="135"/>
      <c r="BN279" s="135"/>
      <c r="BO279" s="135"/>
      <c r="BP279" s="135"/>
      <c r="BQ279" s="135"/>
      <c r="BR279" s="135"/>
      <c r="BS279" s="135"/>
      <c r="BT279" s="135"/>
      <c r="BU279" s="135"/>
      <c r="BV279" s="135"/>
      <c r="BW279" s="135"/>
      <c r="BX279" s="135"/>
      <c r="BY279" s="135"/>
      <c r="BZ279" s="135"/>
      <c r="CA279" s="135"/>
      <c r="CB279" s="135"/>
      <c r="CC279" s="135"/>
      <c r="CD279" s="135"/>
      <c r="CE279" s="135"/>
      <c r="CF279" s="135"/>
      <c r="CG279" s="135"/>
      <c r="CH279" s="135"/>
      <c r="CI279" s="135"/>
      <c r="CJ279" s="135"/>
      <c r="CK279" s="135"/>
      <c r="CL279" s="135"/>
      <c r="CM279" s="135"/>
      <c r="CN279" s="135"/>
      <c r="CO279" s="135"/>
      <c r="CP279" s="135"/>
      <c r="CQ279" s="135"/>
      <c r="CR279" s="135"/>
      <c r="CS279" s="135"/>
      <c r="CT279" s="135"/>
      <c r="CU279" s="135"/>
      <c r="CV279" s="135"/>
      <c r="CW279" s="135"/>
      <c r="CX279" s="135"/>
      <c r="CY279" s="135"/>
      <c r="CZ279" s="135"/>
      <c r="DA279" s="135"/>
      <c r="DB279" s="135"/>
      <c r="DC279" s="135"/>
      <c r="DD279" s="135"/>
      <c r="DE279" s="135"/>
      <c r="DF279" s="135"/>
      <c r="DG279" s="135"/>
      <c r="DH279" s="135"/>
      <c r="DI279" s="135"/>
      <c r="DJ279" s="135"/>
      <c r="DK279" s="135"/>
      <c r="DL279" s="135"/>
      <c r="DM279" s="135"/>
      <c r="DN279" s="135"/>
      <c r="DO279" s="135"/>
      <c r="DP279" s="135"/>
      <c r="DQ279" s="135"/>
      <c r="DR279" s="135"/>
      <c r="DS279" s="135"/>
      <c r="DT279" s="135"/>
      <c r="DU279" s="135"/>
      <c r="DV279" s="135"/>
      <c r="DW279" s="135"/>
      <c r="DX279" s="135"/>
      <c r="DY279" s="135"/>
      <c r="DZ279" s="135"/>
      <c r="EA279" s="135"/>
      <c r="EB279" s="135"/>
      <c r="EC279" s="135"/>
      <c r="ED279" s="135"/>
      <c r="EE279" s="135"/>
      <c r="EF279" s="135"/>
      <c r="EG279" s="135"/>
      <c r="EH279" s="135"/>
      <c r="EI279" s="135"/>
      <c r="EJ279" s="135"/>
      <c r="EK279" s="135"/>
      <c r="EL279" s="135"/>
      <c r="EM279" s="135"/>
      <c r="EN279" s="135"/>
      <c r="EO279" s="135"/>
      <c r="EP279" s="135"/>
      <c r="EQ279" s="135"/>
      <c r="ER279" s="135"/>
      <c r="ES279" s="135"/>
      <c r="ET279" s="135"/>
      <c r="EU279" s="135"/>
      <c r="EV279" s="135"/>
      <c r="EW279" s="135"/>
    </row>
    <row r="280" spans="1:153" s="141" customFormat="1" ht="15" x14ac:dyDescent="0.25">
      <c r="A280" s="454" t="s">
        <v>4306</v>
      </c>
      <c r="B280" s="150"/>
      <c r="C280" s="453"/>
      <c r="D280" s="456"/>
      <c r="E280" s="456"/>
      <c r="F280" s="457"/>
      <c r="G280" s="457"/>
      <c r="H280" s="457"/>
      <c r="I280" s="466"/>
      <c r="J280" s="466"/>
      <c r="K280" s="150"/>
      <c r="L280" s="458"/>
      <c r="M280" s="173"/>
      <c r="N280" s="139"/>
      <c r="O280" s="139"/>
      <c r="P280" s="139"/>
      <c r="Q280" s="139"/>
      <c r="R280" s="154"/>
      <c r="S280" s="153"/>
      <c r="T280" s="153"/>
      <c r="U280" s="135"/>
      <c r="V280" s="135"/>
      <c r="W280" s="135"/>
      <c r="X280" s="135"/>
      <c r="Y280" s="135"/>
      <c r="Z280" s="135"/>
      <c r="AA280" s="135"/>
      <c r="AB280" s="135"/>
      <c r="AC280" s="135"/>
      <c r="AD280" s="135"/>
      <c r="AE280" s="135"/>
      <c r="AF280" s="135"/>
      <c r="AG280" s="135"/>
      <c r="AH280" s="135"/>
      <c r="AI280" s="135"/>
      <c r="AJ280" s="135"/>
      <c r="AK280" s="135"/>
      <c r="AL280" s="135"/>
      <c r="AM280" s="135"/>
      <c r="AN280" s="135"/>
      <c r="AO280" s="135"/>
      <c r="AP280" s="135"/>
      <c r="AQ280" s="135"/>
      <c r="AR280" s="135"/>
      <c r="AS280" s="135"/>
      <c r="AT280" s="135"/>
      <c r="AU280" s="135"/>
      <c r="AV280" s="135"/>
      <c r="AW280" s="135"/>
      <c r="AX280" s="135"/>
      <c r="AY280" s="135"/>
      <c r="AZ280" s="135"/>
      <c r="BA280" s="135"/>
      <c r="BB280" s="135"/>
      <c r="BC280" s="135"/>
      <c r="BD280" s="135"/>
      <c r="BE280" s="135"/>
      <c r="BF280" s="135"/>
      <c r="BG280" s="135"/>
      <c r="BH280" s="135"/>
      <c r="BI280" s="135"/>
      <c r="BJ280" s="135"/>
      <c r="BK280" s="135"/>
      <c r="BL280" s="135"/>
      <c r="BM280" s="135"/>
      <c r="BN280" s="135"/>
      <c r="BO280" s="135"/>
      <c r="BP280" s="135"/>
      <c r="BQ280" s="135"/>
      <c r="BR280" s="135"/>
      <c r="BS280" s="135"/>
      <c r="BT280" s="135"/>
      <c r="BU280" s="135"/>
      <c r="BV280" s="135"/>
      <c r="BW280" s="135"/>
      <c r="BX280" s="135"/>
      <c r="BY280" s="135"/>
      <c r="BZ280" s="135"/>
      <c r="CA280" s="135"/>
      <c r="CB280" s="135"/>
      <c r="CC280" s="135"/>
      <c r="CD280" s="135"/>
      <c r="CE280" s="135"/>
      <c r="CF280" s="135"/>
      <c r="CG280" s="135"/>
      <c r="CH280" s="135"/>
      <c r="CI280" s="135"/>
      <c r="CJ280" s="135"/>
      <c r="CK280" s="135"/>
      <c r="CL280" s="135"/>
      <c r="CM280" s="135"/>
      <c r="CN280" s="135"/>
      <c r="CO280" s="135"/>
      <c r="CP280" s="135"/>
      <c r="CQ280" s="135"/>
      <c r="CR280" s="135"/>
      <c r="CS280" s="135"/>
      <c r="CT280" s="135"/>
      <c r="CU280" s="135"/>
      <c r="CV280" s="135"/>
      <c r="CW280" s="135"/>
      <c r="CX280" s="135"/>
      <c r="CY280" s="135"/>
      <c r="CZ280" s="135"/>
      <c r="DA280" s="135"/>
      <c r="DB280" s="135"/>
      <c r="DC280" s="135"/>
      <c r="DD280" s="135"/>
      <c r="DE280" s="135"/>
      <c r="DF280" s="135"/>
      <c r="DG280" s="135"/>
      <c r="DH280" s="135"/>
      <c r="DI280" s="135"/>
      <c r="DJ280" s="135"/>
      <c r="DK280" s="135"/>
      <c r="DL280" s="135"/>
      <c r="DM280" s="135"/>
      <c r="DN280" s="135"/>
      <c r="DO280" s="135"/>
      <c r="DP280" s="135"/>
      <c r="DQ280" s="135"/>
      <c r="DR280" s="135"/>
      <c r="DS280" s="135"/>
      <c r="DT280" s="135"/>
      <c r="DU280" s="135"/>
      <c r="DV280" s="135"/>
      <c r="DW280" s="135"/>
      <c r="DX280" s="135"/>
      <c r="DY280" s="135"/>
      <c r="DZ280" s="135"/>
      <c r="EA280" s="135"/>
      <c r="EB280" s="135"/>
      <c r="EC280" s="135"/>
      <c r="ED280" s="135"/>
      <c r="EE280" s="135"/>
      <c r="EF280" s="135"/>
      <c r="EG280" s="135"/>
      <c r="EH280" s="135"/>
      <c r="EI280" s="135"/>
      <c r="EJ280" s="135"/>
      <c r="EK280" s="135"/>
      <c r="EL280" s="135"/>
      <c r="EM280" s="135"/>
      <c r="EN280" s="135"/>
      <c r="EO280" s="135"/>
      <c r="EP280" s="135"/>
      <c r="EQ280" s="135"/>
      <c r="ER280" s="135"/>
      <c r="ES280" s="135"/>
      <c r="ET280" s="135"/>
      <c r="EU280" s="135"/>
      <c r="EV280" s="135"/>
      <c r="EW280" s="135"/>
    </row>
    <row r="281" spans="1:153" s="141" customFormat="1" ht="15" x14ac:dyDescent="0.25">
      <c r="A281" s="454" t="s">
        <v>4307</v>
      </c>
      <c r="B281" s="150"/>
      <c r="C281" s="453"/>
      <c r="D281" s="456"/>
      <c r="E281" s="456"/>
      <c r="F281" s="457"/>
      <c r="G281" s="457"/>
      <c r="H281" s="457"/>
      <c r="I281" s="466"/>
      <c r="J281" s="466"/>
      <c r="K281" s="150"/>
      <c r="L281" s="458"/>
      <c r="M281" s="173"/>
      <c r="N281" s="139"/>
      <c r="O281" s="139"/>
      <c r="P281" s="139"/>
      <c r="Q281" s="139"/>
      <c r="R281" s="154"/>
      <c r="S281" s="153"/>
      <c r="T281" s="153"/>
      <c r="U281" s="135"/>
      <c r="V281" s="135"/>
      <c r="W281" s="135"/>
      <c r="X281" s="135"/>
      <c r="Y281" s="135"/>
      <c r="Z281" s="135"/>
      <c r="AA281" s="135"/>
      <c r="AB281" s="135"/>
      <c r="AC281" s="135"/>
      <c r="AD281" s="135"/>
      <c r="AE281" s="135"/>
      <c r="AF281" s="135"/>
      <c r="AG281" s="135"/>
      <c r="AH281" s="135"/>
      <c r="AI281" s="135"/>
      <c r="AJ281" s="135"/>
      <c r="AK281" s="135"/>
      <c r="AL281" s="135"/>
      <c r="AM281" s="135"/>
      <c r="AN281" s="135"/>
      <c r="AO281" s="135"/>
      <c r="AP281" s="135"/>
      <c r="AQ281" s="135"/>
      <c r="AR281" s="135"/>
      <c r="AS281" s="135"/>
      <c r="AT281" s="135"/>
      <c r="AU281" s="135"/>
      <c r="AV281" s="135"/>
      <c r="AW281" s="135"/>
      <c r="AX281" s="135"/>
      <c r="AY281" s="135"/>
      <c r="AZ281" s="135"/>
      <c r="BA281" s="135"/>
      <c r="BB281" s="135"/>
      <c r="BC281" s="135"/>
      <c r="BD281" s="135"/>
      <c r="BE281" s="135"/>
      <c r="BF281" s="135"/>
      <c r="BG281" s="135"/>
      <c r="BH281" s="135"/>
      <c r="BI281" s="135"/>
      <c r="BJ281" s="135"/>
      <c r="BK281" s="135"/>
      <c r="BL281" s="135"/>
      <c r="BM281" s="135"/>
      <c r="BN281" s="135"/>
      <c r="BO281" s="135"/>
      <c r="BP281" s="135"/>
      <c r="BQ281" s="135"/>
      <c r="BR281" s="135"/>
      <c r="BS281" s="135"/>
      <c r="BT281" s="135"/>
      <c r="BU281" s="135"/>
      <c r="BV281" s="135"/>
      <c r="BW281" s="135"/>
      <c r="BX281" s="135"/>
      <c r="BY281" s="135"/>
      <c r="BZ281" s="135"/>
      <c r="CA281" s="135"/>
      <c r="CB281" s="135"/>
      <c r="CC281" s="135"/>
      <c r="CD281" s="135"/>
      <c r="CE281" s="135"/>
      <c r="CF281" s="135"/>
      <c r="CG281" s="135"/>
      <c r="CH281" s="135"/>
      <c r="CI281" s="135"/>
      <c r="CJ281" s="135"/>
      <c r="CK281" s="135"/>
      <c r="CL281" s="135"/>
      <c r="CM281" s="135"/>
      <c r="CN281" s="135"/>
      <c r="CO281" s="135"/>
      <c r="CP281" s="135"/>
      <c r="CQ281" s="135"/>
      <c r="CR281" s="135"/>
      <c r="CS281" s="135"/>
      <c r="CT281" s="135"/>
      <c r="CU281" s="135"/>
      <c r="CV281" s="135"/>
      <c r="CW281" s="135"/>
      <c r="CX281" s="135"/>
      <c r="CY281" s="135"/>
      <c r="CZ281" s="135"/>
      <c r="DA281" s="135"/>
      <c r="DB281" s="135"/>
      <c r="DC281" s="135"/>
      <c r="DD281" s="135"/>
      <c r="DE281" s="135"/>
      <c r="DF281" s="135"/>
      <c r="DG281" s="135"/>
      <c r="DH281" s="135"/>
      <c r="DI281" s="135"/>
      <c r="DJ281" s="135"/>
      <c r="DK281" s="135"/>
      <c r="DL281" s="135"/>
      <c r="DM281" s="135"/>
      <c r="DN281" s="135"/>
      <c r="DO281" s="135"/>
      <c r="DP281" s="135"/>
      <c r="DQ281" s="135"/>
      <c r="DR281" s="135"/>
      <c r="DS281" s="135"/>
      <c r="DT281" s="135"/>
      <c r="DU281" s="135"/>
      <c r="DV281" s="135"/>
      <c r="DW281" s="135"/>
      <c r="DX281" s="135"/>
      <c r="DY281" s="135"/>
      <c r="DZ281" s="135"/>
      <c r="EA281" s="135"/>
      <c r="EB281" s="135"/>
      <c r="EC281" s="135"/>
      <c r="ED281" s="135"/>
      <c r="EE281" s="135"/>
      <c r="EF281" s="135"/>
      <c r="EG281" s="135"/>
      <c r="EH281" s="135"/>
      <c r="EI281" s="135"/>
      <c r="EJ281" s="135"/>
      <c r="EK281" s="135"/>
      <c r="EL281" s="135"/>
      <c r="EM281" s="135"/>
      <c r="EN281" s="135"/>
      <c r="EO281" s="135"/>
      <c r="EP281" s="135"/>
      <c r="EQ281" s="135"/>
      <c r="ER281" s="135"/>
      <c r="ES281" s="135"/>
      <c r="ET281" s="135"/>
      <c r="EU281" s="135"/>
      <c r="EV281" s="135"/>
      <c r="EW281" s="135"/>
    </row>
    <row r="282" spans="1:153" s="141" customFormat="1" ht="15" x14ac:dyDescent="0.25">
      <c r="A282" s="454" t="s">
        <v>4712</v>
      </c>
      <c r="B282" s="150"/>
      <c r="C282" s="453"/>
      <c r="D282" s="456"/>
      <c r="E282" s="456"/>
      <c r="F282" s="457"/>
      <c r="G282" s="457"/>
      <c r="H282" s="457"/>
      <c r="I282" s="466"/>
      <c r="J282" s="466"/>
      <c r="K282" s="150"/>
      <c r="L282" s="458"/>
      <c r="M282" s="173"/>
      <c r="N282" s="139"/>
      <c r="O282" s="139"/>
      <c r="P282" s="139"/>
      <c r="Q282" s="139"/>
      <c r="R282" s="154"/>
      <c r="S282" s="153"/>
      <c r="T282" s="153"/>
      <c r="U282" s="135"/>
      <c r="V282" s="135"/>
      <c r="W282" s="135"/>
      <c r="X282" s="135"/>
      <c r="Y282" s="135"/>
      <c r="Z282" s="135"/>
      <c r="AA282" s="135"/>
      <c r="AB282" s="135"/>
      <c r="AC282" s="135"/>
      <c r="AD282" s="135"/>
      <c r="AE282" s="135"/>
      <c r="AF282" s="135"/>
      <c r="AG282" s="135"/>
      <c r="AH282" s="135"/>
      <c r="AI282" s="135"/>
      <c r="AJ282" s="135"/>
      <c r="AK282" s="135"/>
      <c r="AL282" s="135"/>
      <c r="AM282" s="135"/>
      <c r="AN282" s="135"/>
      <c r="AO282" s="135"/>
      <c r="AP282" s="135"/>
      <c r="AQ282" s="135"/>
      <c r="AR282" s="135"/>
      <c r="AS282" s="135"/>
      <c r="AT282" s="135"/>
      <c r="AU282" s="135"/>
      <c r="AV282" s="135"/>
      <c r="AW282" s="135"/>
      <c r="AX282" s="135"/>
      <c r="AY282" s="135"/>
      <c r="AZ282" s="135"/>
      <c r="BA282" s="135"/>
      <c r="BB282" s="135"/>
      <c r="BC282" s="135"/>
      <c r="BD282" s="135"/>
      <c r="BE282" s="135"/>
      <c r="BF282" s="135"/>
      <c r="BG282" s="135"/>
      <c r="BH282" s="135"/>
      <c r="BI282" s="135"/>
      <c r="BJ282" s="135"/>
      <c r="BK282" s="135"/>
      <c r="BL282" s="135"/>
      <c r="BM282" s="135"/>
      <c r="BN282" s="135"/>
      <c r="BO282" s="135"/>
      <c r="BP282" s="135"/>
      <c r="BQ282" s="135"/>
      <c r="BR282" s="135"/>
      <c r="BS282" s="135"/>
      <c r="BT282" s="135"/>
      <c r="BU282" s="135"/>
      <c r="BV282" s="135"/>
      <c r="BW282" s="135"/>
      <c r="BX282" s="135"/>
      <c r="BY282" s="135"/>
      <c r="BZ282" s="135"/>
      <c r="CA282" s="135"/>
      <c r="CB282" s="135"/>
      <c r="CC282" s="135"/>
      <c r="CD282" s="135"/>
      <c r="CE282" s="135"/>
      <c r="CF282" s="135"/>
      <c r="CG282" s="135"/>
      <c r="CH282" s="135"/>
      <c r="CI282" s="135"/>
      <c r="CJ282" s="135"/>
      <c r="CK282" s="135"/>
      <c r="CL282" s="135"/>
      <c r="CM282" s="135"/>
      <c r="CN282" s="135"/>
      <c r="CO282" s="135"/>
      <c r="CP282" s="135"/>
      <c r="CQ282" s="135"/>
      <c r="CR282" s="135"/>
      <c r="CS282" s="135"/>
      <c r="CT282" s="135"/>
      <c r="CU282" s="135"/>
      <c r="CV282" s="135"/>
      <c r="CW282" s="135"/>
      <c r="CX282" s="135"/>
      <c r="CY282" s="135"/>
      <c r="CZ282" s="135"/>
      <c r="DA282" s="135"/>
      <c r="DB282" s="135"/>
      <c r="DC282" s="135"/>
      <c r="DD282" s="135"/>
      <c r="DE282" s="135"/>
      <c r="DF282" s="135"/>
      <c r="DG282" s="135"/>
      <c r="DH282" s="135"/>
      <c r="DI282" s="135"/>
      <c r="DJ282" s="135"/>
      <c r="DK282" s="135"/>
      <c r="DL282" s="135"/>
      <c r="DM282" s="135"/>
      <c r="DN282" s="135"/>
      <c r="DO282" s="135"/>
      <c r="DP282" s="135"/>
      <c r="DQ282" s="135"/>
      <c r="DR282" s="135"/>
      <c r="DS282" s="135"/>
      <c r="DT282" s="135"/>
      <c r="DU282" s="135"/>
      <c r="DV282" s="135"/>
      <c r="DW282" s="135"/>
      <c r="DX282" s="135"/>
      <c r="DY282" s="135"/>
      <c r="DZ282" s="135"/>
      <c r="EA282" s="135"/>
      <c r="EB282" s="135"/>
      <c r="EC282" s="135"/>
      <c r="ED282" s="135"/>
      <c r="EE282" s="135"/>
      <c r="EF282" s="135"/>
      <c r="EG282" s="135"/>
      <c r="EH282" s="135"/>
      <c r="EI282" s="135"/>
      <c r="EJ282" s="135"/>
      <c r="EK282" s="135"/>
      <c r="EL282" s="135"/>
      <c r="EM282" s="135"/>
      <c r="EN282" s="135"/>
      <c r="EO282" s="135"/>
      <c r="EP282" s="135"/>
      <c r="EQ282" s="135"/>
      <c r="ER282" s="135"/>
      <c r="ES282" s="135"/>
      <c r="ET282" s="135"/>
      <c r="EU282" s="135"/>
      <c r="EV282" s="135"/>
      <c r="EW282" s="135"/>
    </row>
    <row r="283" spans="1:153" s="141" customFormat="1" ht="15" x14ac:dyDescent="0.25">
      <c r="A283" s="454" t="s">
        <v>4322</v>
      </c>
      <c r="B283" s="150"/>
      <c r="C283" s="453"/>
      <c r="D283" s="456"/>
      <c r="E283" s="456"/>
      <c r="F283" s="457"/>
      <c r="G283" s="457"/>
      <c r="H283" s="457"/>
      <c r="I283" s="466"/>
      <c r="J283" s="466"/>
      <c r="K283" s="150"/>
      <c r="L283" s="458"/>
      <c r="M283" s="173"/>
      <c r="N283" s="139"/>
      <c r="O283" s="139"/>
      <c r="P283" s="139"/>
      <c r="Q283" s="139"/>
      <c r="R283" s="154"/>
      <c r="S283" s="153"/>
      <c r="T283" s="153"/>
      <c r="U283" s="135"/>
      <c r="V283" s="135"/>
      <c r="W283" s="135"/>
      <c r="X283" s="135"/>
      <c r="Y283" s="135"/>
      <c r="Z283" s="135"/>
      <c r="AA283" s="135"/>
      <c r="AB283" s="135"/>
      <c r="AC283" s="135"/>
      <c r="AD283" s="135"/>
      <c r="AE283" s="135"/>
      <c r="AF283" s="135"/>
      <c r="AG283" s="135"/>
      <c r="AH283" s="135"/>
      <c r="AI283" s="135"/>
      <c r="AJ283" s="135"/>
      <c r="AK283" s="135"/>
      <c r="AL283" s="135"/>
      <c r="AM283" s="135"/>
      <c r="AN283" s="135"/>
      <c r="AO283" s="135"/>
      <c r="AP283" s="135"/>
      <c r="AQ283" s="135"/>
      <c r="AR283" s="135"/>
      <c r="AS283" s="135"/>
      <c r="AT283" s="135"/>
      <c r="AU283" s="135"/>
      <c r="AV283" s="135"/>
      <c r="AW283" s="135"/>
      <c r="AX283" s="135"/>
      <c r="AY283" s="135"/>
      <c r="AZ283" s="135"/>
      <c r="BA283" s="135"/>
      <c r="BB283" s="135"/>
      <c r="BC283" s="135"/>
      <c r="BD283" s="135"/>
      <c r="BE283" s="135"/>
      <c r="BF283" s="135"/>
      <c r="BG283" s="135"/>
      <c r="BH283" s="135"/>
      <c r="BI283" s="135"/>
      <c r="BJ283" s="135"/>
      <c r="BK283" s="135"/>
      <c r="BL283" s="135"/>
      <c r="BM283" s="135"/>
      <c r="BN283" s="135"/>
      <c r="BO283" s="135"/>
      <c r="BP283" s="135"/>
      <c r="BQ283" s="135"/>
      <c r="BR283" s="135"/>
      <c r="BS283" s="135"/>
      <c r="BT283" s="135"/>
      <c r="BU283" s="135"/>
      <c r="BV283" s="135"/>
      <c r="BW283" s="135"/>
      <c r="BX283" s="135"/>
      <c r="BY283" s="135"/>
      <c r="BZ283" s="135"/>
      <c r="CA283" s="135"/>
      <c r="CB283" s="135"/>
      <c r="CC283" s="135"/>
      <c r="CD283" s="135"/>
      <c r="CE283" s="135"/>
      <c r="CF283" s="135"/>
      <c r="CG283" s="135"/>
      <c r="CH283" s="135"/>
      <c r="CI283" s="135"/>
      <c r="CJ283" s="135"/>
      <c r="CK283" s="135"/>
      <c r="CL283" s="135"/>
      <c r="CM283" s="135"/>
      <c r="CN283" s="135"/>
      <c r="CO283" s="135"/>
      <c r="CP283" s="135"/>
      <c r="CQ283" s="135"/>
      <c r="CR283" s="135"/>
      <c r="CS283" s="135"/>
      <c r="CT283" s="135"/>
      <c r="CU283" s="135"/>
      <c r="CV283" s="135"/>
      <c r="CW283" s="135"/>
      <c r="CX283" s="135"/>
      <c r="CY283" s="135"/>
      <c r="CZ283" s="135"/>
      <c r="DA283" s="135"/>
      <c r="DB283" s="135"/>
      <c r="DC283" s="135"/>
      <c r="DD283" s="135"/>
      <c r="DE283" s="135"/>
      <c r="DF283" s="135"/>
      <c r="DG283" s="135"/>
      <c r="DH283" s="135"/>
      <c r="DI283" s="135"/>
      <c r="DJ283" s="135"/>
      <c r="DK283" s="135"/>
      <c r="DL283" s="135"/>
      <c r="DM283" s="135"/>
      <c r="DN283" s="135"/>
      <c r="DO283" s="135"/>
      <c r="DP283" s="135"/>
      <c r="DQ283" s="135"/>
      <c r="DR283" s="135"/>
      <c r="DS283" s="135"/>
      <c r="DT283" s="135"/>
      <c r="DU283" s="135"/>
      <c r="DV283" s="135"/>
      <c r="DW283" s="135"/>
      <c r="DX283" s="135"/>
      <c r="DY283" s="135"/>
      <c r="DZ283" s="135"/>
      <c r="EA283" s="135"/>
      <c r="EB283" s="135"/>
      <c r="EC283" s="135"/>
      <c r="ED283" s="135"/>
      <c r="EE283" s="135"/>
      <c r="EF283" s="135"/>
      <c r="EG283" s="135"/>
      <c r="EH283" s="135"/>
      <c r="EI283" s="135"/>
      <c r="EJ283" s="135"/>
      <c r="EK283" s="135"/>
      <c r="EL283" s="135"/>
      <c r="EM283" s="135"/>
      <c r="EN283" s="135"/>
      <c r="EO283" s="135"/>
      <c r="EP283" s="135"/>
      <c r="EQ283" s="135"/>
      <c r="ER283" s="135"/>
      <c r="ES283" s="135"/>
      <c r="ET283" s="135"/>
      <c r="EU283" s="135"/>
      <c r="EV283" s="135"/>
      <c r="EW283" s="135"/>
    </row>
    <row r="284" spans="1:153" s="141" customFormat="1" ht="15" x14ac:dyDescent="0.25">
      <c r="A284" s="480" t="s">
        <v>4319</v>
      </c>
      <c r="B284" s="150"/>
      <c r="C284" s="453"/>
      <c r="D284" s="456"/>
      <c r="E284" s="456"/>
      <c r="F284" s="457"/>
      <c r="G284" s="457"/>
      <c r="H284" s="457"/>
      <c r="I284" s="466"/>
      <c r="J284" s="466"/>
      <c r="K284" s="150"/>
      <c r="L284" s="458"/>
      <c r="M284" s="173"/>
      <c r="N284" s="139"/>
      <c r="O284" s="139"/>
      <c r="P284" s="139"/>
      <c r="Q284" s="139"/>
      <c r="R284" s="154"/>
      <c r="S284" s="153"/>
      <c r="T284" s="153"/>
      <c r="U284" s="135"/>
      <c r="V284" s="135"/>
      <c r="W284" s="135"/>
      <c r="X284" s="135"/>
      <c r="Y284" s="135"/>
      <c r="Z284" s="135"/>
      <c r="AA284" s="135"/>
      <c r="AB284" s="135"/>
      <c r="AC284" s="135"/>
      <c r="AD284" s="135"/>
      <c r="AE284" s="135"/>
      <c r="AF284" s="135"/>
      <c r="AG284" s="135"/>
      <c r="AH284" s="135"/>
      <c r="AI284" s="135"/>
      <c r="AJ284" s="135"/>
      <c r="AK284" s="135"/>
      <c r="AL284" s="135"/>
      <c r="AM284" s="135"/>
      <c r="AN284" s="135"/>
      <c r="AO284" s="135"/>
      <c r="AP284" s="135"/>
      <c r="AQ284" s="135"/>
      <c r="AR284" s="135"/>
      <c r="AS284" s="135"/>
      <c r="AT284" s="135"/>
      <c r="AU284" s="135"/>
      <c r="AV284" s="135"/>
      <c r="AW284" s="135"/>
      <c r="AX284" s="135"/>
      <c r="AY284" s="135"/>
      <c r="AZ284" s="135"/>
      <c r="BA284" s="135"/>
      <c r="BB284" s="135"/>
      <c r="BC284" s="135"/>
      <c r="BD284" s="135"/>
      <c r="BE284" s="135"/>
      <c r="BF284" s="135"/>
      <c r="BG284" s="135"/>
      <c r="BH284" s="135"/>
      <c r="BI284" s="135"/>
      <c r="BJ284" s="135"/>
      <c r="BK284" s="135"/>
      <c r="BL284" s="135"/>
      <c r="BM284" s="135"/>
      <c r="BN284" s="135"/>
      <c r="BO284" s="135"/>
      <c r="BP284" s="135"/>
      <c r="BQ284" s="135"/>
      <c r="BR284" s="135"/>
      <c r="BS284" s="135"/>
      <c r="BT284" s="135"/>
      <c r="BU284" s="135"/>
      <c r="BV284" s="135"/>
      <c r="BW284" s="135"/>
      <c r="BX284" s="135"/>
      <c r="BY284" s="135"/>
      <c r="BZ284" s="135"/>
      <c r="CA284" s="135"/>
      <c r="CB284" s="135"/>
      <c r="CC284" s="135"/>
      <c r="CD284" s="135"/>
      <c r="CE284" s="135"/>
      <c r="CF284" s="135"/>
      <c r="CG284" s="135"/>
      <c r="CH284" s="135"/>
      <c r="CI284" s="135"/>
      <c r="CJ284" s="135"/>
      <c r="CK284" s="135"/>
      <c r="CL284" s="135"/>
      <c r="CM284" s="135"/>
      <c r="CN284" s="135"/>
      <c r="CO284" s="135"/>
      <c r="CP284" s="135"/>
      <c r="CQ284" s="135"/>
      <c r="CR284" s="135"/>
      <c r="CS284" s="135"/>
      <c r="CT284" s="135"/>
      <c r="CU284" s="135"/>
      <c r="CV284" s="135"/>
      <c r="CW284" s="135"/>
      <c r="CX284" s="135"/>
      <c r="CY284" s="135"/>
      <c r="CZ284" s="135"/>
      <c r="DA284" s="135"/>
      <c r="DB284" s="135"/>
      <c r="DC284" s="135"/>
      <c r="DD284" s="135"/>
      <c r="DE284" s="135"/>
      <c r="DF284" s="135"/>
      <c r="DG284" s="135"/>
      <c r="DH284" s="135"/>
      <c r="DI284" s="135"/>
      <c r="DJ284" s="135"/>
      <c r="DK284" s="135"/>
      <c r="DL284" s="135"/>
      <c r="DM284" s="135"/>
      <c r="DN284" s="135"/>
      <c r="DO284" s="135"/>
      <c r="DP284" s="135"/>
      <c r="DQ284" s="135"/>
      <c r="DR284" s="135"/>
      <c r="DS284" s="135"/>
      <c r="DT284" s="135"/>
      <c r="DU284" s="135"/>
      <c r="DV284" s="135"/>
      <c r="DW284" s="135"/>
      <c r="DX284" s="135"/>
      <c r="DY284" s="135"/>
      <c r="DZ284" s="135"/>
      <c r="EA284" s="135"/>
      <c r="EB284" s="135"/>
      <c r="EC284" s="135"/>
      <c r="ED284" s="135"/>
      <c r="EE284" s="135"/>
      <c r="EF284" s="135"/>
      <c r="EG284" s="135"/>
      <c r="EH284" s="135"/>
      <c r="EI284" s="135"/>
      <c r="EJ284" s="135"/>
      <c r="EK284" s="135"/>
      <c r="EL284" s="135"/>
      <c r="EM284" s="135"/>
      <c r="EN284" s="135"/>
      <c r="EO284" s="135"/>
      <c r="EP284" s="135"/>
      <c r="EQ284" s="135"/>
      <c r="ER284" s="135"/>
      <c r="ES284" s="135"/>
      <c r="ET284" s="135"/>
      <c r="EU284" s="135"/>
      <c r="EV284" s="135"/>
      <c r="EW284" s="135"/>
    </row>
    <row r="285" spans="1:153" s="141" customFormat="1" ht="15" x14ac:dyDescent="0.25">
      <c r="A285" s="454" t="s">
        <v>4318</v>
      </c>
      <c r="B285" s="150"/>
      <c r="C285" s="453"/>
      <c r="D285" s="456"/>
      <c r="E285" s="456"/>
      <c r="F285" s="457"/>
      <c r="G285" s="457"/>
      <c r="H285" s="457"/>
      <c r="I285" s="466"/>
      <c r="J285" s="466"/>
      <c r="K285" s="150"/>
      <c r="L285" s="458"/>
      <c r="M285" s="173"/>
      <c r="N285" s="139"/>
      <c r="O285" s="139"/>
      <c r="P285" s="139"/>
      <c r="Q285" s="139"/>
      <c r="R285" s="154"/>
      <c r="S285" s="153"/>
      <c r="T285" s="153"/>
      <c r="U285" s="135"/>
      <c r="V285" s="135"/>
      <c r="W285" s="135"/>
      <c r="X285" s="135"/>
      <c r="Y285" s="135"/>
      <c r="Z285" s="135"/>
      <c r="AA285" s="135"/>
      <c r="AB285" s="135"/>
      <c r="AC285" s="135"/>
      <c r="AD285" s="135"/>
      <c r="AE285" s="135"/>
      <c r="AF285" s="135"/>
      <c r="AG285" s="135"/>
      <c r="AH285" s="135"/>
      <c r="AI285" s="135"/>
      <c r="AJ285" s="135"/>
      <c r="AK285" s="135"/>
      <c r="AL285" s="135"/>
      <c r="AM285" s="135"/>
      <c r="AN285" s="135"/>
      <c r="AO285" s="135"/>
      <c r="AP285" s="135"/>
      <c r="AQ285" s="135"/>
      <c r="AR285" s="135"/>
      <c r="AS285" s="135"/>
      <c r="AT285" s="135"/>
      <c r="AU285" s="135"/>
      <c r="AV285" s="135"/>
      <c r="AW285" s="135"/>
      <c r="AX285" s="135"/>
      <c r="AY285" s="135"/>
      <c r="AZ285" s="135"/>
      <c r="BA285" s="135"/>
      <c r="BB285" s="135"/>
      <c r="BC285" s="135"/>
      <c r="BD285" s="135"/>
      <c r="BE285" s="135"/>
      <c r="BF285" s="135"/>
      <c r="BG285" s="135"/>
      <c r="BH285" s="135"/>
      <c r="BI285" s="135"/>
      <c r="BJ285" s="135"/>
      <c r="BK285" s="135"/>
      <c r="BL285" s="135"/>
      <c r="BM285" s="135"/>
      <c r="BN285" s="135"/>
      <c r="BO285" s="135"/>
      <c r="BP285" s="135"/>
      <c r="BQ285" s="135"/>
      <c r="BR285" s="135"/>
      <c r="BS285" s="135"/>
      <c r="BT285" s="135"/>
      <c r="BU285" s="135"/>
      <c r="BV285" s="135"/>
      <c r="BW285" s="135"/>
      <c r="BX285" s="135"/>
      <c r="BY285" s="135"/>
      <c r="BZ285" s="135"/>
      <c r="CA285" s="135"/>
      <c r="CB285" s="135"/>
      <c r="CC285" s="135"/>
      <c r="CD285" s="135"/>
      <c r="CE285" s="135"/>
      <c r="CF285" s="135"/>
      <c r="CG285" s="135"/>
      <c r="CH285" s="135"/>
      <c r="CI285" s="135"/>
      <c r="CJ285" s="135"/>
      <c r="CK285" s="135"/>
      <c r="CL285" s="135"/>
      <c r="CM285" s="135"/>
      <c r="CN285" s="135"/>
      <c r="CO285" s="135"/>
      <c r="CP285" s="135"/>
      <c r="CQ285" s="135"/>
      <c r="CR285" s="135"/>
      <c r="CS285" s="135"/>
      <c r="CT285" s="135"/>
      <c r="CU285" s="135"/>
      <c r="CV285" s="135"/>
      <c r="CW285" s="135"/>
      <c r="CX285" s="135"/>
      <c r="CY285" s="135"/>
      <c r="CZ285" s="135"/>
      <c r="DA285" s="135"/>
      <c r="DB285" s="135"/>
      <c r="DC285" s="135"/>
      <c r="DD285" s="135"/>
      <c r="DE285" s="135"/>
      <c r="DF285" s="135"/>
      <c r="DG285" s="135"/>
      <c r="DH285" s="135"/>
      <c r="DI285" s="135"/>
      <c r="DJ285" s="135"/>
      <c r="DK285" s="135"/>
      <c r="DL285" s="135"/>
      <c r="DM285" s="135"/>
      <c r="DN285" s="135"/>
      <c r="DO285" s="135"/>
      <c r="DP285" s="135"/>
      <c r="DQ285" s="135"/>
      <c r="DR285" s="135"/>
      <c r="DS285" s="135"/>
      <c r="DT285" s="135"/>
      <c r="DU285" s="135"/>
      <c r="DV285" s="135"/>
      <c r="DW285" s="135"/>
      <c r="DX285" s="135"/>
      <c r="DY285" s="135"/>
      <c r="DZ285" s="135"/>
      <c r="EA285" s="135"/>
      <c r="EB285" s="135"/>
      <c r="EC285" s="135"/>
      <c r="ED285" s="135"/>
      <c r="EE285" s="135"/>
      <c r="EF285" s="135"/>
      <c r="EG285" s="135"/>
      <c r="EH285" s="135"/>
      <c r="EI285" s="135"/>
      <c r="EJ285" s="135"/>
      <c r="EK285" s="135"/>
      <c r="EL285" s="135"/>
      <c r="EM285" s="135"/>
      <c r="EN285" s="135"/>
      <c r="EO285" s="135"/>
      <c r="EP285" s="135"/>
      <c r="EQ285" s="135"/>
      <c r="ER285" s="135"/>
      <c r="ES285" s="135"/>
      <c r="ET285" s="135"/>
      <c r="EU285" s="135"/>
      <c r="EV285" s="135"/>
      <c r="EW285" s="135"/>
    </row>
    <row r="286" spans="1:153" s="141" customFormat="1" ht="15" x14ac:dyDescent="0.25">
      <c r="A286" s="454" t="s">
        <v>4341</v>
      </c>
      <c r="B286" s="150"/>
      <c r="C286" s="453"/>
      <c r="D286" s="456"/>
      <c r="E286" s="456"/>
      <c r="F286" s="457"/>
      <c r="G286" s="457"/>
      <c r="H286" s="457"/>
      <c r="I286" s="466"/>
      <c r="J286" s="466"/>
      <c r="K286" s="150"/>
      <c r="L286" s="458"/>
      <c r="M286" s="173"/>
      <c r="N286" s="139"/>
      <c r="O286" s="139"/>
      <c r="P286" s="139"/>
      <c r="Q286" s="139"/>
      <c r="R286" s="154"/>
      <c r="S286" s="153"/>
      <c r="T286" s="153"/>
      <c r="U286" s="135"/>
      <c r="V286" s="135"/>
      <c r="W286" s="135"/>
      <c r="X286" s="135"/>
      <c r="Y286" s="135"/>
      <c r="Z286" s="135"/>
      <c r="AA286" s="135"/>
      <c r="AB286" s="135"/>
      <c r="AC286" s="135"/>
      <c r="AD286" s="135"/>
      <c r="AE286" s="135"/>
      <c r="AF286" s="135"/>
      <c r="AG286" s="135"/>
      <c r="AH286" s="135"/>
      <c r="AI286" s="135"/>
      <c r="AJ286" s="135"/>
      <c r="AK286" s="135"/>
      <c r="AL286" s="135"/>
      <c r="AM286" s="135"/>
      <c r="AN286" s="135"/>
      <c r="AO286" s="135"/>
      <c r="AP286" s="135"/>
      <c r="AQ286" s="135"/>
      <c r="AR286" s="135"/>
      <c r="AS286" s="135"/>
      <c r="AT286" s="135"/>
      <c r="AU286" s="135"/>
      <c r="AV286" s="135"/>
      <c r="AW286" s="135"/>
      <c r="AX286" s="135"/>
      <c r="AY286" s="135"/>
      <c r="AZ286" s="135"/>
      <c r="BA286" s="135"/>
      <c r="BB286" s="135"/>
      <c r="BC286" s="135"/>
      <c r="BD286" s="135"/>
      <c r="BE286" s="135"/>
      <c r="BF286" s="135"/>
      <c r="BG286" s="135"/>
      <c r="BH286" s="135"/>
      <c r="BI286" s="135"/>
      <c r="BJ286" s="135"/>
      <c r="BK286" s="135"/>
      <c r="BL286" s="135"/>
      <c r="BM286" s="135"/>
      <c r="BN286" s="135"/>
      <c r="BO286" s="135"/>
      <c r="BP286" s="135"/>
      <c r="BQ286" s="135"/>
      <c r="BR286" s="135"/>
      <c r="BS286" s="135"/>
      <c r="BT286" s="135"/>
      <c r="BU286" s="135"/>
      <c r="BV286" s="135"/>
      <c r="BW286" s="135"/>
      <c r="BX286" s="135"/>
      <c r="BY286" s="135"/>
      <c r="BZ286" s="135"/>
      <c r="CA286" s="135"/>
      <c r="CB286" s="135"/>
      <c r="CC286" s="135"/>
      <c r="CD286" s="135"/>
      <c r="CE286" s="135"/>
      <c r="CF286" s="135"/>
      <c r="CG286" s="135"/>
      <c r="CH286" s="135"/>
      <c r="CI286" s="135"/>
      <c r="CJ286" s="135"/>
      <c r="CK286" s="135"/>
      <c r="CL286" s="135"/>
      <c r="CM286" s="135"/>
      <c r="CN286" s="135"/>
      <c r="CO286" s="135"/>
      <c r="CP286" s="135"/>
      <c r="CQ286" s="135"/>
      <c r="CR286" s="135"/>
      <c r="CS286" s="135"/>
      <c r="CT286" s="135"/>
      <c r="CU286" s="135"/>
      <c r="CV286" s="135"/>
      <c r="CW286" s="135"/>
      <c r="CX286" s="135"/>
      <c r="CY286" s="135"/>
      <c r="CZ286" s="135"/>
      <c r="DA286" s="135"/>
      <c r="DB286" s="135"/>
      <c r="DC286" s="135"/>
      <c r="DD286" s="135"/>
      <c r="DE286" s="135"/>
      <c r="DF286" s="135"/>
      <c r="DG286" s="135"/>
      <c r="DH286" s="135"/>
      <c r="DI286" s="135"/>
      <c r="DJ286" s="135"/>
      <c r="DK286" s="135"/>
      <c r="DL286" s="135"/>
      <c r="DM286" s="135"/>
      <c r="DN286" s="135"/>
      <c r="DO286" s="135"/>
      <c r="DP286" s="135"/>
      <c r="DQ286" s="135"/>
      <c r="DR286" s="135"/>
      <c r="DS286" s="135"/>
      <c r="DT286" s="135"/>
      <c r="DU286" s="135"/>
      <c r="DV286" s="135"/>
      <c r="DW286" s="135"/>
      <c r="DX286" s="135"/>
      <c r="DY286" s="135"/>
      <c r="DZ286" s="135"/>
      <c r="EA286" s="135"/>
      <c r="EB286" s="135"/>
      <c r="EC286" s="135"/>
      <c r="ED286" s="135"/>
      <c r="EE286" s="135"/>
      <c r="EF286" s="135"/>
      <c r="EG286" s="135"/>
      <c r="EH286" s="135"/>
      <c r="EI286" s="135"/>
      <c r="EJ286" s="135"/>
      <c r="EK286" s="135"/>
      <c r="EL286" s="135"/>
      <c r="EM286" s="135"/>
      <c r="EN286" s="135"/>
      <c r="EO286" s="135"/>
      <c r="EP286" s="135"/>
      <c r="EQ286" s="135"/>
      <c r="ER286" s="135"/>
      <c r="ES286" s="135"/>
      <c r="ET286" s="135"/>
      <c r="EU286" s="135"/>
      <c r="EV286" s="135"/>
      <c r="EW286" s="135"/>
    </row>
    <row r="287" spans="1:153" s="152" customFormat="1" ht="15" x14ac:dyDescent="0.25">
      <c r="A287" s="454" t="s">
        <v>4713</v>
      </c>
      <c r="B287" s="150"/>
      <c r="C287" s="453"/>
      <c r="D287" s="456"/>
      <c r="E287" s="456"/>
      <c r="F287" s="457"/>
      <c r="G287" s="457"/>
      <c r="H287" s="457"/>
      <c r="I287" s="466"/>
      <c r="J287" s="466"/>
      <c r="K287" s="150"/>
      <c r="L287" s="458"/>
      <c r="M287" s="173"/>
      <c r="N287" s="139"/>
      <c r="O287" s="139"/>
      <c r="P287" s="139"/>
      <c r="Q287" s="139"/>
      <c r="R287" s="154"/>
      <c r="S287" s="153"/>
      <c r="T287" s="153"/>
      <c r="U287" s="153"/>
      <c r="V287" s="153"/>
      <c r="W287" s="153"/>
      <c r="X287" s="153"/>
      <c r="Y287" s="153"/>
      <c r="Z287" s="153"/>
      <c r="AA287" s="153"/>
      <c r="AB287" s="153"/>
      <c r="AC287" s="153"/>
      <c r="AD287" s="153"/>
      <c r="AE287" s="153"/>
      <c r="AF287" s="153"/>
      <c r="AG287" s="153"/>
      <c r="AH287" s="153"/>
      <c r="AI287" s="153"/>
      <c r="AJ287" s="153"/>
      <c r="AK287" s="153"/>
      <c r="AL287" s="153"/>
      <c r="AM287" s="153"/>
      <c r="AN287" s="153"/>
      <c r="AO287" s="153"/>
      <c r="AP287" s="153"/>
      <c r="AQ287" s="153"/>
      <c r="AR287" s="153"/>
      <c r="AS287" s="153"/>
      <c r="AT287" s="153"/>
      <c r="AU287" s="153"/>
      <c r="AV287" s="153"/>
      <c r="AW287" s="153"/>
      <c r="AX287" s="153"/>
      <c r="AY287" s="153"/>
      <c r="AZ287" s="153"/>
      <c r="BA287" s="153"/>
      <c r="BB287" s="153"/>
      <c r="BC287" s="153"/>
      <c r="BD287" s="153"/>
      <c r="BE287" s="153"/>
      <c r="BF287" s="153"/>
      <c r="BG287" s="153"/>
      <c r="BH287" s="153"/>
      <c r="BI287" s="153"/>
      <c r="BJ287" s="153"/>
      <c r="BK287" s="153"/>
      <c r="BL287" s="153"/>
      <c r="BM287" s="153"/>
      <c r="BN287" s="153"/>
      <c r="BO287" s="153"/>
      <c r="BP287" s="153"/>
      <c r="BQ287" s="153"/>
      <c r="BR287" s="153"/>
      <c r="BS287" s="153"/>
      <c r="BT287" s="153"/>
      <c r="BU287" s="153"/>
      <c r="BV287" s="153"/>
      <c r="BW287" s="153"/>
      <c r="BX287" s="153"/>
      <c r="BY287" s="153"/>
      <c r="BZ287" s="153"/>
      <c r="CA287" s="153"/>
      <c r="CB287" s="153"/>
      <c r="CC287" s="153"/>
      <c r="CD287" s="153"/>
      <c r="CE287" s="153"/>
      <c r="CF287" s="153"/>
      <c r="CG287" s="153"/>
      <c r="CH287" s="153"/>
      <c r="CI287" s="153"/>
      <c r="CJ287" s="153"/>
      <c r="CK287" s="153"/>
      <c r="CL287" s="153"/>
      <c r="CM287" s="153"/>
      <c r="CN287" s="153"/>
      <c r="CO287" s="153"/>
      <c r="CP287" s="153"/>
      <c r="CQ287" s="153"/>
      <c r="CR287" s="153"/>
      <c r="CS287" s="153"/>
      <c r="CT287" s="153"/>
      <c r="CU287" s="153"/>
      <c r="CV287" s="153"/>
      <c r="CW287" s="153"/>
      <c r="CX287" s="153"/>
      <c r="CY287" s="153"/>
      <c r="CZ287" s="153"/>
      <c r="DA287" s="153"/>
      <c r="DB287" s="153"/>
      <c r="DC287" s="153"/>
      <c r="DD287" s="153"/>
      <c r="DE287" s="153"/>
      <c r="DF287" s="153"/>
      <c r="DG287" s="153"/>
      <c r="DH287" s="153"/>
      <c r="DI287" s="153"/>
      <c r="DJ287" s="153"/>
      <c r="DK287" s="153"/>
      <c r="DL287" s="153"/>
      <c r="DM287" s="153"/>
      <c r="DN287" s="153"/>
      <c r="DO287" s="153"/>
      <c r="DP287" s="153"/>
      <c r="DQ287" s="153"/>
      <c r="DR287" s="153"/>
      <c r="DS287" s="153"/>
      <c r="DT287" s="153"/>
      <c r="DU287" s="153"/>
      <c r="DV287" s="153"/>
      <c r="DW287" s="153"/>
      <c r="DX287" s="153"/>
      <c r="DY287" s="153"/>
      <c r="DZ287" s="153"/>
      <c r="EA287" s="153"/>
      <c r="EB287" s="153"/>
      <c r="EC287" s="153"/>
      <c r="ED287" s="153"/>
      <c r="EE287" s="153"/>
      <c r="EF287" s="153"/>
      <c r="EG287" s="153"/>
      <c r="EH287" s="153"/>
      <c r="EI287" s="153"/>
      <c r="EJ287" s="153"/>
      <c r="EK287" s="153"/>
      <c r="EL287" s="153"/>
      <c r="EM287" s="153"/>
      <c r="EN287" s="153"/>
      <c r="EO287" s="153"/>
      <c r="EP287" s="153"/>
      <c r="EQ287" s="153"/>
      <c r="ER287" s="153"/>
      <c r="ES287" s="153"/>
      <c r="ET287" s="153"/>
      <c r="EU287" s="153"/>
      <c r="EV287" s="153"/>
      <c r="EW287" s="153"/>
    </row>
    <row r="288" spans="1:153" s="152" customFormat="1" ht="15" x14ac:dyDescent="0.25">
      <c r="A288" s="454" t="s">
        <v>4682</v>
      </c>
      <c r="B288" s="150"/>
      <c r="C288" s="453"/>
      <c r="D288" s="456"/>
      <c r="E288" s="456"/>
      <c r="F288" s="457"/>
      <c r="G288" s="457"/>
      <c r="H288" s="457"/>
      <c r="I288" s="466"/>
      <c r="J288" s="466"/>
      <c r="K288" s="150"/>
      <c r="L288" s="458"/>
      <c r="M288" s="173"/>
      <c r="N288" s="139"/>
      <c r="O288" s="139"/>
      <c r="P288" s="139"/>
      <c r="Q288" s="139"/>
      <c r="R288" s="154"/>
      <c r="S288" s="153"/>
      <c r="T288" s="153"/>
      <c r="U288" s="153"/>
      <c r="V288" s="153"/>
      <c r="W288" s="153"/>
      <c r="X288" s="153"/>
      <c r="Y288" s="153"/>
      <c r="Z288" s="153"/>
      <c r="AA288" s="153"/>
      <c r="AB288" s="153"/>
      <c r="AC288" s="153"/>
      <c r="AD288" s="153"/>
      <c r="AE288" s="153"/>
      <c r="AF288" s="153"/>
      <c r="AG288" s="153"/>
      <c r="AH288" s="153"/>
      <c r="AI288" s="153"/>
      <c r="AJ288" s="153"/>
      <c r="AK288" s="153"/>
      <c r="AL288" s="153"/>
      <c r="AM288" s="153"/>
      <c r="AN288" s="153"/>
      <c r="AO288" s="153"/>
      <c r="AP288" s="153"/>
      <c r="AQ288" s="153"/>
      <c r="AR288" s="153"/>
      <c r="AS288" s="153"/>
      <c r="AT288" s="153"/>
      <c r="AU288" s="153"/>
      <c r="AV288" s="153"/>
      <c r="AW288" s="153"/>
      <c r="AX288" s="153"/>
      <c r="AY288" s="153"/>
      <c r="AZ288" s="153"/>
      <c r="BA288" s="153"/>
      <c r="BB288" s="153"/>
      <c r="BC288" s="153"/>
      <c r="BD288" s="153"/>
      <c r="BE288" s="153"/>
      <c r="BF288" s="153"/>
      <c r="BG288" s="153"/>
      <c r="BH288" s="153"/>
      <c r="BI288" s="153"/>
      <c r="BJ288" s="153"/>
      <c r="BK288" s="153"/>
      <c r="BL288" s="153"/>
      <c r="BM288" s="153"/>
      <c r="BN288" s="153"/>
      <c r="BO288" s="153"/>
      <c r="BP288" s="153"/>
      <c r="BQ288" s="153"/>
      <c r="BR288" s="153"/>
      <c r="BS288" s="153"/>
      <c r="BT288" s="153"/>
      <c r="BU288" s="153"/>
      <c r="BV288" s="153"/>
      <c r="BW288" s="153"/>
      <c r="BX288" s="153"/>
      <c r="BY288" s="153"/>
      <c r="BZ288" s="153"/>
      <c r="CA288" s="153"/>
      <c r="CB288" s="153"/>
      <c r="CC288" s="153"/>
      <c r="CD288" s="153"/>
      <c r="CE288" s="153"/>
      <c r="CF288" s="153"/>
      <c r="CG288" s="153"/>
      <c r="CH288" s="153"/>
      <c r="CI288" s="153"/>
      <c r="CJ288" s="153"/>
      <c r="CK288" s="153"/>
      <c r="CL288" s="153"/>
      <c r="CM288" s="153"/>
      <c r="CN288" s="153"/>
      <c r="CO288" s="153"/>
      <c r="CP288" s="153"/>
      <c r="CQ288" s="153"/>
      <c r="CR288" s="153"/>
      <c r="CS288" s="153"/>
      <c r="CT288" s="153"/>
      <c r="CU288" s="153"/>
      <c r="CV288" s="153"/>
      <c r="CW288" s="153"/>
      <c r="CX288" s="153"/>
      <c r="CY288" s="153"/>
      <c r="CZ288" s="153"/>
      <c r="DA288" s="153"/>
      <c r="DB288" s="153"/>
      <c r="DC288" s="153"/>
      <c r="DD288" s="153"/>
      <c r="DE288" s="153"/>
      <c r="DF288" s="153"/>
      <c r="DG288" s="153"/>
      <c r="DH288" s="153"/>
      <c r="DI288" s="153"/>
      <c r="DJ288" s="153"/>
      <c r="DK288" s="153"/>
      <c r="DL288" s="153"/>
      <c r="DM288" s="153"/>
      <c r="DN288" s="153"/>
      <c r="DO288" s="153"/>
      <c r="DP288" s="153"/>
      <c r="DQ288" s="153"/>
      <c r="DR288" s="153"/>
      <c r="DS288" s="153"/>
      <c r="DT288" s="153"/>
      <c r="DU288" s="153"/>
      <c r="DV288" s="153"/>
      <c r="DW288" s="153"/>
      <c r="DX288" s="153"/>
      <c r="DY288" s="153"/>
      <c r="DZ288" s="153"/>
      <c r="EA288" s="153"/>
      <c r="EB288" s="153"/>
      <c r="EC288" s="153"/>
      <c r="ED288" s="153"/>
      <c r="EE288" s="153"/>
      <c r="EF288" s="153"/>
      <c r="EG288" s="153"/>
      <c r="EH288" s="153"/>
      <c r="EI288" s="153"/>
      <c r="EJ288" s="153"/>
      <c r="EK288" s="153"/>
      <c r="EL288" s="153"/>
      <c r="EM288" s="153"/>
      <c r="EN288" s="153"/>
      <c r="EO288" s="153"/>
      <c r="EP288" s="153"/>
      <c r="EQ288" s="153"/>
      <c r="ER288" s="153"/>
      <c r="ES288" s="153"/>
      <c r="ET288" s="153"/>
      <c r="EU288" s="153"/>
      <c r="EV288" s="153"/>
      <c r="EW288" s="153"/>
    </row>
    <row r="289" spans="1:153" s="152" customFormat="1" ht="15" x14ac:dyDescent="0.25">
      <c r="A289" s="454" t="s">
        <v>4354</v>
      </c>
      <c r="B289" s="150"/>
      <c r="C289" s="453"/>
      <c r="D289" s="456"/>
      <c r="E289" s="456"/>
      <c r="F289" s="457"/>
      <c r="G289" s="457"/>
      <c r="H289" s="457"/>
      <c r="I289" s="466"/>
      <c r="J289" s="466"/>
      <c r="K289" s="150"/>
      <c r="L289" s="458"/>
      <c r="M289" s="173"/>
      <c r="N289" s="139"/>
      <c r="O289" s="139"/>
      <c r="P289" s="139"/>
      <c r="Q289" s="139"/>
      <c r="R289" s="154"/>
      <c r="S289" s="153"/>
      <c r="T289" s="153"/>
      <c r="U289" s="153"/>
      <c r="V289" s="153"/>
      <c r="W289" s="153"/>
      <c r="X289" s="153"/>
      <c r="Y289" s="153"/>
      <c r="Z289" s="153"/>
      <c r="AA289" s="153"/>
      <c r="AB289" s="153"/>
      <c r="AC289" s="153"/>
      <c r="AD289" s="153"/>
      <c r="AE289" s="153"/>
      <c r="AF289" s="153"/>
      <c r="AG289" s="153"/>
      <c r="AH289" s="153"/>
      <c r="AI289" s="153"/>
      <c r="AJ289" s="153"/>
      <c r="AK289" s="153"/>
      <c r="AL289" s="153"/>
      <c r="AM289" s="153"/>
      <c r="AN289" s="153"/>
      <c r="AO289" s="153"/>
      <c r="AP289" s="153"/>
      <c r="AQ289" s="153"/>
      <c r="AR289" s="153"/>
      <c r="AS289" s="153"/>
      <c r="AT289" s="153"/>
      <c r="AU289" s="153"/>
      <c r="AV289" s="153"/>
      <c r="AW289" s="153"/>
      <c r="AX289" s="153"/>
      <c r="AY289" s="153"/>
      <c r="AZ289" s="153"/>
      <c r="BA289" s="153"/>
      <c r="BB289" s="153"/>
      <c r="BC289" s="153"/>
      <c r="BD289" s="153"/>
      <c r="BE289" s="153"/>
      <c r="BF289" s="153"/>
      <c r="BG289" s="153"/>
      <c r="BH289" s="153"/>
      <c r="BI289" s="153"/>
      <c r="BJ289" s="153"/>
      <c r="BK289" s="153"/>
      <c r="BL289" s="153"/>
      <c r="BM289" s="153"/>
      <c r="BN289" s="153"/>
      <c r="BO289" s="153"/>
      <c r="BP289" s="153"/>
      <c r="BQ289" s="153"/>
      <c r="BR289" s="153"/>
      <c r="BS289" s="153"/>
      <c r="BT289" s="153"/>
      <c r="BU289" s="153"/>
      <c r="BV289" s="153"/>
      <c r="BW289" s="153"/>
      <c r="BX289" s="153"/>
      <c r="BY289" s="153"/>
      <c r="BZ289" s="153"/>
      <c r="CA289" s="153"/>
      <c r="CB289" s="153"/>
      <c r="CC289" s="153"/>
      <c r="CD289" s="153"/>
      <c r="CE289" s="153"/>
      <c r="CF289" s="153"/>
      <c r="CG289" s="153"/>
      <c r="CH289" s="153"/>
      <c r="CI289" s="153"/>
      <c r="CJ289" s="153"/>
      <c r="CK289" s="153"/>
      <c r="CL289" s="153"/>
      <c r="CM289" s="153"/>
      <c r="CN289" s="153"/>
      <c r="CO289" s="153"/>
      <c r="CP289" s="153"/>
      <c r="CQ289" s="153"/>
      <c r="CR289" s="153"/>
      <c r="CS289" s="153"/>
      <c r="CT289" s="153"/>
      <c r="CU289" s="153"/>
      <c r="CV289" s="153"/>
      <c r="CW289" s="153"/>
      <c r="CX289" s="153"/>
      <c r="CY289" s="153"/>
      <c r="CZ289" s="153"/>
      <c r="DA289" s="153"/>
      <c r="DB289" s="153"/>
      <c r="DC289" s="153"/>
      <c r="DD289" s="153"/>
      <c r="DE289" s="153"/>
      <c r="DF289" s="153"/>
      <c r="DG289" s="153"/>
      <c r="DH289" s="153"/>
      <c r="DI289" s="153"/>
      <c r="DJ289" s="153"/>
      <c r="DK289" s="153"/>
      <c r="DL289" s="153"/>
      <c r="DM289" s="153"/>
      <c r="DN289" s="153"/>
      <c r="DO289" s="153"/>
      <c r="DP289" s="153"/>
      <c r="DQ289" s="153"/>
      <c r="DR289" s="153"/>
      <c r="DS289" s="153"/>
      <c r="DT289" s="153"/>
      <c r="DU289" s="153"/>
      <c r="DV289" s="153"/>
      <c r="DW289" s="153"/>
      <c r="DX289" s="153"/>
      <c r="DY289" s="153"/>
      <c r="DZ289" s="153"/>
      <c r="EA289" s="153"/>
      <c r="EB289" s="153"/>
      <c r="EC289" s="153"/>
      <c r="ED289" s="153"/>
      <c r="EE289" s="153"/>
      <c r="EF289" s="153"/>
      <c r="EG289" s="153"/>
      <c r="EH289" s="153"/>
      <c r="EI289" s="153"/>
      <c r="EJ289" s="153"/>
      <c r="EK289" s="153"/>
      <c r="EL289" s="153"/>
      <c r="EM289" s="153"/>
      <c r="EN289" s="153"/>
      <c r="EO289" s="153"/>
      <c r="EP289" s="153"/>
      <c r="EQ289" s="153"/>
      <c r="ER289" s="153"/>
      <c r="ES289" s="153"/>
      <c r="ET289" s="153"/>
      <c r="EU289" s="153"/>
      <c r="EV289" s="153"/>
      <c r="EW289" s="153"/>
    </row>
    <row r="290" spans="1:153" s="152" customFormat="1" ht="15" x14ac:dyDescent="0.25">
      <c r="A290" s="454" t="s">
        <v>4714</v>
      </c>
      <c r="B290" s="150"/>
      <c r="C290" s="453"/>
      <c r="D290" s="456"/>
      <c r="E290" s="456"/>
      <c r="F290" s="457"/>
      <c r="G290" s="457"/>
      <c r="H290" s="457"/>
      <c r="I290" s="466"/>
      <c r="J290" s="466"/>
      <c r="K290" s="150"/>
      <c r="L290" s="458"/>
      <c r="M290" s="173"/>
      <c r="N290" s="139"/>
      <c r="O290" s="139"/>
      <c r="P290" s="139"/>
      <c r="Q290" s="139"/>
      <c r="R290" s="154"/>
      <c r="S290" s="153"/>
      <c r="T290" s="153"/>
      <c r="U290" s="153"/>
      <c r="V290" s="153"/>
      <c r="W290" s="153"/>
      <c r="X290" s="153"/>
      <c r="Y290" s="153"/>
      <c r="Z290" s="153"/>
      <c r="AA290" s="153"/>
      <c r="AB290" s="153"/>
      <c r="AC290" s="153"/>
      <c r="AD290" s="153"/>
      <c r="AE290" s="153"/>
      <c r="AF290" s="153"/>
      <c r="AG290" s="153"/>
      <c r="AH290" s="153"/>
      <c r="AI290" s="153"/>
      <c r="AJ290" s="153"/>
      <c r="AK290" s="153"/>
      <c r="AL290" s="153"/>
      <c r="AM290" s="153"/>
      <c r="AN290" s="153"/>
      <c r="AO290" s="153"/>
      <c r="AP290" s="153"/>
      <c r="AQ290" s="153"/>
      <c r="AR290" s="153"/>
      <c r="AS290" s="153"/>
      <c r="AT290" s="153"/>
      <c r="AU290" s="153"/>
      <c r="AV290" s="153"/>
      <c r="AW290" s="153"/>
      <c r="AX290" s="153"/>
      <c r="AY290" s="153"/>
      <c r="AZ290" s="153"/>
      <c r="BA290" s="153"/>
      <c r="BB290" s="153"/>
      <c r="BC290" s="153"/>
      <c r="BD290" s="153"/>
      <c r="BE290" s="153"/>
      <c r="BF290" s="153"/>
      <c r="BG290" s="153"/>
      <c r="BH290" s="153"/>
      <c r="BI290" s="153"/>
      <c r="BJ290" s="153"/>
      <c r="BK290" s="153"/>
      <c r="BL290" s="153"/>
      <c r="BM290" s="153"/>
      <c r="BN290" s="153"/>
      <c r="BO290" s="153"/>
      <c r="BP290" s="153"/>
      <c r="BQ290" s="153"/>
      <c r="BR290" s="153"/>
      <c r="BS290" s="153"/>
      <c r="BT290" s="153"/>
      <c r="BU290" s="153"/>
      <c r="BV290" s="153"/>
      <c r="BW290" s="153"/>
      <c r="BX290" s="153"/>
      <c r="BY290" s="153"/>
      <c r="BZ290" s="153"/>
      <c r="CA290" s="153"/>
      <c r="CB290" s="153"/>
      <c r="CC290" s="153"/>
      <c r="CD290" s="153"/>
      <c r="CE290" s="153"/>
      <c r="CF290" s="153"/>
      <c r="CG290" s="153"/>
      <c r="CH290" s="153"/>
      <c r="CI290" s="153"/>
      <c r="CJ290" s="153"/>
      <c r="CK290" s="153"/>
      <c r="CL290" s="153"/>
      <c r="CM290" s="153"/>
      <c r="CN290" s="153"/>
      <c r="CO290" s="153"/>
      <c r="CP290" s="153"/>
      <c r="CQ290" s="153"/>
      <c r="CR290" s="153"/>
      <c r="CS290" s="153"/>
      <c r="CT290" s="153"/>
      <c r="CU290" s="153"/>
      <c r="CV290" s="153"/>
      <c r="CW290" s="153"/>
      <c r="CX290" s="153"/>
      <c r="CY290" s="153"/>
      <c r="CZ290" s="153"/>
      <c r="DA290" s="153"/>
      <c r="DB290" s="153"/>
      <c r="DC290" s="153"/>
      <c r="DD290" s="153"/>
      <c r="DE290" s="153"/>
      <c r="DF290" s="153"/>
      <c r="DG290" s="153"/>
      <c r="DH290" s="153"/>
      <c r="DI290" s="153"/>
      <c r="DJ290" s="153"/>
      <c r="DK290" s="153"/>
      <c r="DL290" s="153"/>
      <c r="DM290" s="153"/>
      <c r="DN290" s="153"/>
      <c r="DO290" s="153"/>
      <c r="DP290" s="153"/>
      <c r="DQ290" s="153"/>
      <c r="DR290" s="153"/>
      <c r="DS290" s="153"/>
      <c r="DT290" s="153"/>
      <c r="DU290" s="153"/>
      <c r="DV290" s="153"/>
      <c r="DW290" s="153"/>
      <c r="DX290" s="153"/>
      <c r="DY290" s="153"/>
      <c r="DZ290" s="153"/>
      <c r="EA290" s="153"/>
      <c r="EB290" s="153"/>
      <c r="EC290" s="153"/>
      <c r="ED290" s="153"/>
      <c r="EE290" s="153"/>
      <c r="EF290" s="153"/>
      <c r="EG290" s="153"/>
      <c r="EH290" s="153"/>
      <c r="EI290" s="153"/>
      <c r="EJ290" s="153"/>
      <c r="EK290" s="153"/>
      <c r="EL290" s="153"/>
      <c r="EM290" s="153"/>
      <c r="EN290" s="153"/>
      <c r="EO290" s="153"/>
      <c r="EP290" s="153"/>
      <c r="EQ290" s="153"/>
      <c r="ER290" s="153"/>
      <c r="ES290" s="153"/>
      <c r="ET290" s="153"/>
      <c r="EU290" s="153"/>
      <c r="EV290" s="153"/>
      <c r="EW290" s="153"/>
    </row>
    <row r="291" spans="1:153" s="152" customFormat="1" ht="15" x14ac:dyDescent="0.25">
      <c r="A291" s="454" t="s">
        <v>4345</v>
      </c>
      <c r="B291" s="150"/>
      <c r="C291" s="453"/>
      <c r="D291" s="456"/>
      <c r="E291" s="456"/>
      <c r="F291" s="457"/>
      <c r="G291" s="457"/>
      <c r="H291" s="457"/>
      <c r="I291" s="466"/>
      <c r="J291" s="466"/>
      <c r="K291" s="150"/>
      <c r="L291" s="458"/>
      <c r="M291" s="173"/>
      <c r="N291" s="139"/>
      <c r="O291" s="139"/>
      <c r="P291" s="139"/>
      <c r="Q291" s="139"/>
      <c r="R291" s="154"/>
      <c r="S291" s="153"/>
      <c r="T291" s="153"/>
      <c r="U291" s="153"/>
      <c r="V291" s="153"/>
      <c r="W291" s="153"/>
      <c r="X291" s="153"/>
      <c r="Y291" s="153"/>
      <c r="Z291" s="153"/>
      <c r="AA291" s="153"/>
      <c r="AB291" s="153"/>
      <c r="AC291" s="153"/>
      <c r="AD291" s="153"/>
      <c r="AE291" s="153"/>
      <c r="AF291" s="153"/>
      <c r="AG291" s="153"/>
      <c r="AH291" s="153"/>
      <c r="AI291" s="153"/>
      <c r="AJ291" s="153"/>
      <c r="AK291" s="153"/>
      <c r="AL291" s="153"/>
      <c r="AM291" s="153"/>
      <c r="AN291" s="153"/>
      <c r="AO291" s="153"/>
      <c r="AP291" s="153"/>
      <c r="AQ291" s="153"/>
      <c r="AR291" s="153"/>
      <c r="AS291" s="153"/>
      <c r="AT291" s="153"/>
      <c r="AU291" s="153"/>
      <c r="AV291" s="153"/>
      <c r="AW291" s="153"/>
      <c r="AX291" s="153"/>
      <c r="AY291" s="153"/>
      <c r="AZ291" s="153"/>
      <c r="BA291" s="153"/>
      <c r="BB291" s="153"/>
      <c r="BC291" s="153"/>
      <c r="BD291" s="153"/>
      <c r="BE291" s="153"/>
      <c r="BF291" s="153"/>
      <c r="BG291" s="153"/>
      <c r="BH291" s="153"/>
      <c r="BI291" s="153"/>
      <c r="BJ291" s="153"/>
      <c r="BK291" s="153"/>
      <c r="BL291" s="153"/>
      <c r="BM291" s="153"/>
      <c r="BN291" s="153"/>
      <c r="BO291" s="153"/>
      <c r="BP291" s="153"/>
      <c r="BQ291" s="153"/>
      <c r="BR291" s="153"/>
      <c r="BS291" s="153"/>
      <c r="BT291" s="153"/>
      <c r="BU291" s="153"/>
      <c r="BV291" s="153"/>
      <c r="BW291" s="153"/>
      <c r="BX291" s="153"/>
      <c r="BY291" s="153"/>
      <c r="BZ291" s="153"/>
      <c r="CA291" s="153"/>
      <c r="CB291" s="153"/>
      <c r="CC291" s="153"/>
      <c r="CD291" s="153"/>
      <c r="CE291" s="153"/>
      <c r="CF291" s="153"/>
      <c r="CG291" s="153"/>
      <c r="CH291" s="153"/>
      <c r="CI291" s="153"/>
      <c r="CJ291" s="153"/>
      <c r="CK291" s="153"/>
      <c r="CL291" s="153"/>
      <c r="CM291" s="153"/>
      <c r="CN291" s="153"/>
      <c r="CO291" s="153"/>
      <c r="CP291" s="153"/>
      <c r="CQ291" s="153"/>
      <c r="CR291" s="153"/>
      <c r="CS291" s="153"/>
      <c r="CT291" s="153"/>
      <c r="CU291" s="153"/>
      <c r="CV291" s="153"/>
      <c r="CW291" s="153"/>
      <c r="CX291" s="153"/>
      <c r="CY291" s="153"/>
      <c r="CZ291" s="153"/>
      <c r="DA291" s="153"/>
      <c r="DB291" s="153"/>
      <c r="DC291" s="153"/>
      <c r="DD291" s="153"/>
      <c r="DE291" s="153"/>
      <c r="DF291" s="153"/>
      <c r="DG291" s="153"/>
      <c r="DH291" s="153"/>
      <c r="DI291" s="153"/>
      <c r="DJ291" s="153"/>
      <c r="DK291" s="153"/>
      <c r="DL291" s="153"/>
      <c r="DM291" s="153"/>
      <c r="DN291" s="153"/>
      <c r="DO291" s="153"/>
      <c r="DP291" s="153"/>
      <c r="DQ291" s="153"/>
      <c r="DR291" s="153"/>
      <c r="DS291" s="153"/>
      <c r="DT291" s="153"/>
      <c r="DU291" s="153"/>
      <c r="DV291" s="153"/>
      <c r="DW291" s="153"/>
      <c r="DX291" s="153"/>
      <c r="DY291" s="153"/>
      <c r="DZ291" s="153"/>
      <c r="EA291" s="153"/>
      <c r="EB291" s="153"/>
      <c r="EC291" s="153"/>
      <c r="ED291" s="153"/>
      <c r="EE291" s="153"/>
      <c r="EF291" s="153"/>
      <c r="EG291" s="153"/>
      <c r="EH291" s="153"/>
      <c r="EI291" s="153"/>
      <c r="EJ291" s="153"/>
      <c r="EK291" s="153"/>
      <c r="EL291" s="153"/>
      <c r="EM291" s="153"/>
      <c r="EN291" s="153"/>
      <c r="EO291" s="153"/>
      <c r="EP291" s="153"/>
      <c r="EQ291" s="153"/>
      <c r="ER291" s="153"/>
      <c r="ES291" s="153"/>
      <c r="ET291" s="153"/>
      <c r="EU291" s="153"/>
      <c r="EV291" s="153"/>
      <c r="EW291" s="153"/>
    </row>
    <row r="292" spans="1:153" s="490" customFormat="1" ht="15" x14ac:dyDescent="0.25">
      <c r="A292" s="485" t="s">
        <v>4592</v>
      </c>
      <c r="B292" s="481"/>
      <c r="C292" s="482"/>
      <c r="D292" s="483"/>
      <c r="E292" s="483"/>
      <c r="F292" s="484"/>
      <c r="G292" s="484"/>
      <c r="H292" s="484"/>
      <c r="I292" s="485"/>
      <c r="J292" s="481"/>
      <c r="K292" s="481"/>
      <c r="L292" s="486"/>
      <c r="M292" s="479"/>
      <c r="N292" s="491"/>
      <c r="O292" s="487"/>
      <c r="P292" s="487"/>
      <c r="Q292" s="487"/>
      <c r="R292" s="488"/>
      <c r="S292" s="489"/>
      <c r="T292" s="489"/>
      <c r="U292" s="489"/>
      <c r="V292" s="489"/>
      <c r="W292" s="489"/>
      <c r="X292" s="489"/>
      <c r="Y292" s="489"/>
      <c r="Z292" s="489"/>
      <c r="AA292" s="489"/>
      <c r="AB292" s="489"/>
      <c r="AC292" s="489"/>
      <c r="AD292" s="489"/>
      <c r="AE292" s="489"/>
      <c r="AF292" s="489"/>
      <c r="AG292" s="489"/>
      <c r="AH292" s="489"/>
      <c r="AI292" s="489"/>
      <c r="AJ292" s="489"/>
      <c r="AK292" s="489"/>
      <c r="AL292" s="489"/>
      <c r="AM292" s="489"/>
      <c r="AN292" s="489"/>
      <c r="AO292" s="489"/>
      <c r="AP292" s="489"/>
      <c r="AQ292" s="489"/>
      <c r="AR292" s="489"/>
      <c r="AS292" s="489"/>
      <c r="AT292" s="489"/>
      <c r="AU292" s="489"/>
      <c r="AV292" s="489"/>
      <c r="AW292" s="489"/>
      <c r="AX292" s="489"/>
      <c r="AY292" s="489"/>
      <c r="AZ292" s="489"/>
      <c r="BA292" s="489"/>
      <c r="BB292" s="489"/>
      <c r="BC292" s="489"/>
      <c r="BD292" s="489"/>
      <c r="BE292" s="489"/>
      <c r="BF292" s="489"/>
      <c r="BG292" s="489"/>
      <c r="BH292" s="489"/>
      <c r="BI292" s="489"/>
      <c r="BJ292" s="489"/>
      <c r="BK292" s="489"/>
      <c r="BL292" s="489"/>
      <c r="BM292" s="489"/>
      <c r="BN292" s="489"/>
      <c r="BO292" s="489"/>
      <c r="BP292" s="489"/>
      <c r="BQ292" s="489"/>
      <c r="BR292" s="489"/>
      <c r="BS292" s="489"/>
      <c r="BT292" s="489"/>
      <c r="BU292" s="489"/>
      <c r="BV292" s="489"/>
      <c r="BW292" s="489"/>
      <c r="BX292" s="489"/>
      <c r="BY292" s="489"/>
      <c r="BZ292" s="489"/>
      <c r="CA292" s="489"/>
      <c r="CB292" s="489"/>
      <c r="CC292" s="489"/>
      <c r="CD292" s="489"/>
      <c r="CE292" s="489"/>
      <c r="CF292" s="489"/>
      <c r="CG292" s="489"/>
      <c r="CH292" s="489"/>
      <c r="CI292" s="489"/>
      <c r="CJ292" s="489"/>
      <c r="CK292" s="489"/>
      <c r="CL292" s="489"/>
      <c r="CM292" s="489"/>
      <c r="CN292" s="489"/>
      <c r="CO292" s="489"/>
      <c r="CP292" s="489"/>
      <c r="CQ292" s="489"/>
      <c r="CR292" s="489"/>
      <c r="CS292" s="489"/>
      <c r="CT292" s="489"/>
      <c r="CU292" s="489"/>
      <c r="CV292" s="489"/>
      <c r="CW292" s="489"/>
      <c r="CX292" s="489"/>
      <c r="CY292" s="489"/>
      <c r="CZ292" s="489"/>
      <c r="DA292" s="489"/>
      <c r="DB292" s="489"/>
      <c r="DC292" s="489"/>
      <c r="DD292" s="489"/>
      <c r="DE292" s="489"/>
      <c r="DF292" s="489"/>
      <c r="DG292" s="489"/>
      <c r="DH292" s="489"/>
      <c r="DI292" s="489"/>
      <c r="DJ292" s="489"/>
      <c r="DK292" s="489"/>
      <c r="DL292" s="489"/>
      <c r="DM292" s="489"/>
      <c r="DN292" s="489"/>
      <c r="DO292" s="489"/>
      <c r="DP292" s="489"/>
      <c r="DQ292" s="489"/>
      <c r="DR292" s="489"/>
      <c r="DS292" s="489"/>
      <c r="DT292" s="489"/>
      <c r="DU292" s="489"/>
      <c r="DV292" s="489"/>
      <c r="DW292" s="489"/>
      <c r="DX292" s="489"/>
      <c r="DY292" s="489"/>
      <c r="DZ292" s="489"/>
      <c r="EA292" s="489"/>
      <c r="EB292" s="489"/>
      <c r="EC292" s="489"/>
      <c r="ED292" s="489"/>
      <c r="EE292" s="489"/>
      <c r="EF292" s="489"/>
      <c r="EG292" s="489"/>
      <c r="EH292" s="489"/>
      <c r="EI292" s="489"/>
      <c r="EJ292" s="489"/>
      <c r="EK292" s="489"/>
      <c r="EL292" s="489"/>
      <c r="EM292" s="489"/>
      <c r="EN292" s="489"/>
      <c r="EO292" s="489"/>
      <c r="EP292" s="489"/>
      <c r="EQ292" s="489"/>
      <c r="ER292" s="489"/>
      <c r="ES292" s="489"/>
      <c r="ET292" s="489"/>
      <c r="EU292" s="489"/>
      <c r="EV292" s="489"/>
      <c r="EW292" s="489"/>
    </row>
    <row r="293" spans="1:153" s="490" customFormat="1" ht="15" x14ac:dyDescent="0.25">
      <c r="A293" s="485" t="s">
        <v>4683</v>
      </c>
      <c r="B293" s="481"/>
      <c r="C293" s="482"/>
      <c r="D293" s="483"/>
      <c r="E293" s="483"/>
      <c r="F293" s="484"/>
      <c r="G293" s="484"/>
      <c r="H293" s="484"/>
      <c r="I293" s="485"/>
      <c r="J293" s="481"/>
      <c r="K293" s="481"/>
      <c r="L293" s="486"/>
      <c r="M293" s="479"/>
      <c r="N293" s="491"/>
      <c r="O293" s="487"/>
      <c r="P293" s="487"/>
      <c r="Q293" s="487"/>
      <c r="R293" s="488"/>
      <c r="S293" s="489"/>
      <c r="T293" s="489"/>
      <c r="U293" s="489"/>
      <c r="V293" s="489"/>
      <c r="W293" s="489"/>
      <c r="X293" s="489"/>
      <c r="Y293" s="489"/>
      <c r="Z293" s="489"/>
      <c r="AA293" s="489"/>
      <c r="AB293" s="489"/>
      <c r="AC293" s="489"/>
      <c r="AD293" s="489"/>
      <c r="AE293" s="489"/>
      <c r="AF293" s="489"/>
      <c r="AG293" s="489"/>
      <c r="AH293" s="489"/>
      <c r="AI293" s="489"/>
      <c r="AJ293" s="489"/>
      <c r="AK293" s="489"/>
      <c r="AL293" s="489"/>
      <c r="AM293" s="489"/>
      <c r="AN293" s="489"/>
      <c r="AO293" s="489"/>
      <c r="AP293" s="489"/>
      <c r="AQ293" s="489"/>
      <c r="AR293" s="489"/>
      <c r="AS293" s="489"/>
      <c r="AT293" s="489"/>
      <c r="AU293" s="489"/>
      <c r="AV293" s="489"/>
      <c r="AW293" s="489"/>
      <c r="AX293" s="489"/>
      <c r="AY293" s="489"/>
      <c r="AZ293" s="489"/>
      <c r="BA293" s="489"/>
      <c r="BB293" s="489"/>
      <c r="BC293" s="489"/>
      <c r="BD293" s="489"/>
      <c r="BE293" s="489"/>
      <c r="BF293" s="489"/>
      <c r="BG293" s="489"/>
      <c r="BH293" s="489"/>
      <c r="BI293" s="489"/>
      <c r="BJ293" s="489"/>
      <c r="BK293" s="489"/>
      <c r="BL293" s="489"/>
      <c r="BM293" s="489"/>
      <c r="BN293" s="489"/>
      <c r="BO293" s="489"/>
      <c r="BP293" s="489"/>
      <c r="BQ293" s="489"/>
      <c r="BR293" s="489"/>
      <c r="BS293" s="489"/>
      <c r="BT293" s="489"/>
      <c r="BU293" s="489"/>
      <c r="BV293" s="489"/>
      <c r="BW293" s="489"/>
      <c r="BX293" s="489"/>
      <c r="BY293" s="489"/>
      <c r="BZ293" s="489"/>
      <c r="CA293" s="489"/>
      <c r="CB293" s="489"/>
      <c r="CC293" s="489"/>
      <c r="CD293" s="489"/>
      <c r="CE293" s="489"/>
      <c r="CF293" s="489"/>
      <c r="CG293" s="489"/>
      <c r="CH293" s="489"/>
      <c r="CI293" s="489"/>
      <c r="CJ293" s="489"/>
      <c r="CK293" s="489"/>
      <c r="CL293" s="489"/>
      <c r="CM293" s="489"/>
      <c r="CN293" s="489"/>
      <c r="CO293" s="489"/>
      <c r="CP293" s="489"/>
      <c r="CQ293" s="489"/>
      <c r="CR293" s="489"/>
      <c r="CS293" s="489"/>
      <c r="CT293" s="489"/>
      <c r="CU293" s="489"/>
      <c r="CV293" s="489"/>
      <c r="CW293" s="489"/>
      <c r="CX293" s="489"/>
      <c r="CY293" s="489"/>
      <c r="CZ293" s="489"/>
      <c r="DA293" s="489"/>
      <c r="DB293" s="489"/>
      <c r="DC293" s="489"/>
      <c r="DD293" s="489"/>
      <c r="DE293" s="489"/>
      <c r="DF293" s="489"/>
      <c r="DG293" s="489"/>
      <c r="DH293" s="489"/>
      <c r="DI293" s="489"/>
      <c r="DJ293" s="489"/>
      <c r="DK293" s="489"/>
      <c r="DL293" s="489"/>
      <c r="DM293" s="489"/>
      <c r="DN293" s="489"/>
      <c r="DO293" s="489"/>
      <c r="DP293" s="489"/>
      <c r="DQ293" s="489"/>
      <c r="DR293" s="489"/>
      <c r="DS293" s="489"/>
      <c r="DT293" s="489"/>
      <c r="DU293" s="489"/>
      <c r="DV293" s="489"/>
      <c r="DW293" s="489"/>
      <c r="DX293" s="489"/>
      <c r="DY293" s="489"/>
      <c r="DZ293" s="489"/>
      <c r="EA293" s="489"/>
      <c r="EB293" s="489"/>
      <c r="EC293" s="489"/>
      <c r="ED293" s="489"/>
      <c r="EE293" s="489"/>
      <c r="EF293" s="489"/>
      <c r="EG293" s="489"/>
      <c r="EH293" s="489"/>
      <c r="EI293" s="489"/>
      <c r="EJ293" s="489"/>
      <c r="EK293" s="489"/>
      <c r="EL293" s="489"/>
      <c r="EM293" s="489"/>
      <c r="EN293" s="489"/>
      <c r="EO293" s="489"/>
      <c r="EP293" s="489"/>
      <c r="EQ293" s="489"/>
      <c r="ER293" s="489"/>
      <c r="ES293" s="489"/>
      <c r="ET293" s="489"/>
      <c r="EU293" s="489"/>
      <c r="EV293" s="489"/>
      <c r="EW293" s="489"/>
    </row>
    <row r="294" spans="1:153" s="490" customFormat="1" ht="15" x14ac:dyDescent="0.25">
      <c r="A294" s="485" t="s">
        <v>4593</v>
      </c>
      <c r="B294" s="481"/>
      <c r="C294" s="482"/>
      <c r="D294" s="483"/>
      <c r="E294" s="483"/>
      <c r="F294" s="484"/>
      <c r="G294" s="484"/>
      <c r="H294" s="484"/>
      <c r="I294" s="485"/>
      <c r="J294" s="481"/>
      <c r="K294" s="481"/>
      <c r="L294" s="486"/>
      <c r="M294" s="479"/>
      <c r="N294" s="491"/>
      <c r="O294" s="487"/>
      <c r="P294" s="487"/>
      <c r="Q294" s="487"/>
      <c r="R294" s="488"/>
      <c r="S294" s="489"/>
      <c r="T294" s="489"/>
      <c r="U294" s="489"/>
      <c r="V294" s="489"/>
      <c r="W294" s="489"/>
      <c r="X294" s="489"/>
      <c r="Y294" s="489"/>
      <c r="Z294" s="489"/>
      <c r="AA294" s="489"/>
      <c r="AB294" s="489"/>
      <c r="AC294" s="489"/>
      <c r="AD294" s="489"/>
      <c r="AE294" s="489"/>
      <c r="AF294" s="489"/>
      <c r="AG294" s="489"/>
      <c r="AH294" s="489"/>
      <c r="AI294" s="489"/>
      <c r="AJ294" s="489"/>
      <c r="AK294" s="489"/>
      <c r="AL294" s="489"/>
      <c r="AM294" s="489"/>
      <c r="AN294" s="489"/>
      <c r="AO294" s="489"/>
      <c r="AP294" s="489"/>
      <c r="AQ294" s="489"/>
      <c r="AR294" s="489"/>
      <c r="AS294" s="489"/>
      <c r="AT294" s="489"/>
      <c r="AU294" s="489"/>
      <c r="AV294" s="489"/>
      <c r="AW294" s="489"/>
      <c r="AX294" s="489"/>
      <c r="AY294" s="489"/>
      <c r="AZ294" s="489"/>
      <c r="BA294" s="489"/>
      <c r="BB294" s="489"/>
      <c r="BC294" s="489"/>
      <c r="BD294" s="489"/>
      <c r="BE294" s="489"/>
      <c r="BF294" s="489"/>
      <c r="BG294" s="489"/>
      <c r="BH294" s="489"/>
      <c r="BI294" s="489"/>
      <c r="BJ294" s="489"/>
      <c r="BK294" s="489"/>
      <c r="BL294" s="489"/>
      <c r="BM294" s="489"/>
      <c r="BN294" s="489"/>
      <c r="BO294" s="489"/>
      <c r="BP294" s="489"/>
      <c r="BQ294" s="489"/>
      <c r="BR294" s="489"/>
      <c r="BS294" s="489"/>
      <c r="BT294" s="489"/>
      <c r="BU294" s="489"/>
      <c r="BV294" s="489"/>
      <c r="BW294" s="489"/>
      <c r="BX294" s="489"/>
      <c r="BY294" s="489"/>
      <c r="BZ294" s="489"/>
      <c r="CA294" s="489"/>
      <c r="CB294" s="489"/>
      <c r="CC294" s="489"/>
      <c r="CD294" s="489"/>
      <c r="CE294" s="489"/>
      <c r="CF294" s="489"/>
      <c r="CG294" s="489"/>
      <c r="CH294" s="489"/>
      <c r="CI294" s="489"/>
      <c r="CJ294" s="489"/>
      <c r="CK294" s="489"/>
      <c r="CL294" s="489"/>
      <c r="CM294" s="489"/>
      <c r="CN294" s="489"/>
      <c r="CO294" s="489"/>
      <c r="CP294" s="489"/>
      <c r="CQ294" s="489"/>
      <c r="CR294" s="489"/>
      <c r="CS294" s="489"/>
      <c r="CT294" s="489"/>
      <c r="CU294" s="489"/>
      <c r="CV294" s="489"/>
      <c r="CW294" s="489"/>
      <c r="CX294" s="489"/>
      <c r="CY294" s="489"/>
      <c r="CZ294" s="489"/>
      <c r="DA294" s="489"/>
      <c r="DB294" s="489"/>
      <c r="DC294" s="489"/>
      <c r="DD294" s="489"/>
      <c r="DE294" s="489"/>
      <c r="DF294" s="489"/>
      <c r="DG294" s="489"/>
      <c r="DH294" s="489"/>
      <c r="DI294" s="489"/>
      <c r="DJ294" s="489"/>
      <c r="DK294" s="489"/>
      <c r="DL294" s="489"/>
      <c r="DM294" s="489"/>
      <c r="DN294" s="489"/>
      <c r="DO294" s="489"/>
      <c r="DP294" s="489"/>
      <c r="DQ294" s="489"/>
      <c r="DR294" s="489"/>
      <c r="DS294" s="489"/>
      <c r="DT294" s="489"/>
      <c r="DU294" s="489"/>
      <c r="DV294" s="489"/>
      <c r="DW294" s="489"/>
      <c r="DX294" s="489"/>
      <c r="DY294" s="489"/>
      <c r="DZ294" s="489"/>
      <c r="EA294" s="489"/>
      <c r="EB294" s="489"/>
      <c r="EC294" s="489"/>
      <c r="ED294" s="489"/>
      <c r="EE294" s="489"/>
      <c r="EF294" s="489"/>
      <c r="EG294" s="489"/>
      <c r="EH294" s="489"/>
      <c r="EI294" s="489"/>
      <c r="EJ294" s="489"/>
      <c r="EK294" s="489"/>
      <c r="EL294" s="489"/>
      <c r="EM294" s="489"/>
      <c r="EN294" s="489"/>
      <c r="EO294" s="489"/>
      <c r="EP294" s="489"/>
      <c r="EQ294" s="489"/>
      <c r="ER294" s="489"/>
      <c r="ES294" s="489"/>
      <c r="ET294" s="489"/>
      <c r="EU294" s="489"/>
      <c r="EV294" s="489"/>
      <c r="EW294" s="489"/>
    </row>
    <row r="295" spans="1:153" s="152" customFormat="1" ht="15" x14ac:dyDescent="0.25">
      <c r="A295" s="455"/>
      <c r="B295" s="139"/>
      <c r="C295" s="153"/>
      <c r="D295" s="151"/>
      <c r="E295" s="151"/>
      <c r="F295" s="137"/>
      <c r="G295" s="137"/>
      <c r="H295" s="137"/>
      <c r="I295" s="470"/>
      <c r="J295" s="470"/>
      <c r="K295" s="139"/>
      <c r="L295" s="154"/>
      <c r="N295" s="139"/>
      <c r="O295" s="139"/>
      <c r="P295" s="139"/>
      <c r="Q295" s="139"/>
      <c r="R295" s="154"/>
      <c r="S295" s="153"/>
      <c r="T295" s="153"/>
      <c r="U295" s="153"/>
      <c r="V295" s="153"/>
      <c r="W295" s="153"/>
      <c r="X295" s="153"/>
      <c r="Y295" s="153"/>
      <c r="Z295" s="153"/>
      <c r="AA295" s="153"/>
      <c r="AB295" s="153"/>
      <c r="AC295" s="153"/>
      <c r="AD295" s="153"/>
      <c r="AE295" s="153"/>
      <c r="AF295" s="153"/>
      <c r="AG295" s="153"/>
      <c r="AH295" s="153"/>
      <c r="AI295" s="153"/>
      <c r="AJ295" s="153"/>
      <c r="AK295" s="153"/>
      <c r="AL295" s="153"/>
      <c r="AM295" s="153"/>
      <c r="AN295" s="153"/>
      <c r="AO295" s="153"/>
      <c r="AP295" s="153"/>
      <c r="AQ295" s="153"/>
      <c r="AR295" s="153"/>
      <c r="AS295" s="153"/>
      <c r="AT295" s="153"/>
      <c r="AU295" s="153"/>
      <c r="AV295" s="153"/>
      <c r="AW295" s="153"/>
      <c r="AX295" s="153"/>
      <c r="AY295" s="153"/>
      <c r="AZ295" s="153"/>
      <c r="BA295" s="153"/>
      <c r="BB295" s="153"/>
      <c r="BC295" s="153"/>
      <c r="BD295" s="153"/>
      <c r="BE295" s="153"/>
      <c r="BF295" s="153"/>
      <c r="BG295" s="153"/>
      <c r="BH295" s="153"/>
      <c r="BI295" s="153"/>
      <c r="BJ295" s="153"/>
      <c r="BK295" s="153"/>
      <c r="BL295" s="153"/>
      <c r="BM295" s="153"/>
      <c r="BN295" s="153"/>
      <c r="BO295" s="153"/>
      <c r="BP295" s="153"/>
      <c r="BQ295" s="153"/>
      <c r="BR295" s="153"/>
      <c r="BS295" s="153"/>
      <c r="BT295" s="153"/>
      <c r="BU295" s="153"/>
      <c r="BV295" s="153"/>
      <c r="BW295" s="153"/>
      <c r="BX295" s="153"/>
      <c r="BY295" s="153"/>
      <c r="BZ295" s="153"/>
      <c r="CA295" s="153"/>
      <c r="CB295" s="153"/>
      <c r="CC295" s="153"/>
      <c r="CD295" s="153"/>
      <c r="CE295" s="153"/>
      <c r="CF295" s="153"/>
      <c r="CG295" s="153"/>
      <c r="CH295" s="153"/>
      <c r="CI295" s="153"/>
      <c r="CJ295" s="153"/>
      <c r="CK295" s="153"/>
      <c r="CL295" s="153"/>
      <c r="CM295" s="153"/>
      <c r="CN295" s="153"/>
      <c r="CO295" s="153"/>
      <c r="CP295" s="153"/>
      <c r="CQ295" s="153"/>
      <c r="CR295" s="153"/>
      <c r="CS295" s="153"/>
      <c r="CT295" s="153"/>
      <c r="CU295" s="153"/>
      <c r="CV295" s="153"/>
      <c r="CW295" s="153"/>
      <c r="CX295" s="153"/>
      <c r="CY295" s="153"/>
      <c r="CZ295" s="153"/>
      <c r="DA295" s="153"/>
      <c r="DB295" s="153"/>
      <c r="DC295" s="153"/>
      <c r="DD295" s="153"/>
      <c r="DE295" s="153"/>
      <c r="DF295" s="153"/>
      <c r="DG295" s="153"/>
      <c r="DH295" s="153"/>
      <c r="DI295" s="153"/>
      <c r="DJ295" s="153"/>
      <c r="DK295" s="153"/>
      <c r="DL295" s="153"/>
      <c r="DM295" s="153"/>
      <c r="DN295" s="153"/>
      <c r="DO295" s="153"/>
      <c r="DP295" s="153"/>
      <c r="DQ295" s="153"/>
      <c r="DR295" s="153"/>
      <c r="DS295" s="153"/>
      <c r="DT295" s="153"/>
      <c r="DU295" s="153"/>
      <c r="DV295" s="153"/>
      <c r="DW295" s="153"/>
      <c r="DX295" s="153"/>
      <c r="DY295" s="153"/>
      <c r="DZ295" s="153"/>
      <c r="EA295" s="153"/>
      <c r="EB295" s="153"/>
      <c r="EC295" s="153"/>
      <c r="ED295" s="153"/>
      <c r="EE295" s="153"/>
      <c r="EF295" s="153"/>
      <c r="EG295" s="153"/>
      <c r="EH295" s="153"/>
      <c r="EI295" s="153"/>
      <c r="EJ295" s="153"/>
      <c r="EK295" s="153"/>
      <c r="EL295" s="153"/>
      <c r="EM295" s="153"/>
      <c r="EN295" s="153"/>
      <c r="EO295" s="153"/>
      <c r="EP295" s="153"/>
      <c r="EQ295" s="153"/>
      <c r="ER295" s="153"/>
      <c r="ES295" s="153"/>
      <c r="ET295" s="153"/>
      <c r="EU295" s="153"/>
      <c r="EV295" s="153"/>
      <c r="EW295" s="153"/>
    </row>
    <row r="296" spans="1:153" s="152" customFormat="1" ht="15" x14ac:dyDescent="0.25">
      <c r="A296" t="s">
        <v>4312</v>
      </c>
      <c r="B296" s="139"/>
      <c r="C296" s="153"/>
      <c r="D296" s="151"/>
      <c r="E296" s="151"/>
      <c r="F296" s="137"/>
      <c r="G296" s="137"/>
      <c r="H296" s="137"/>
      <c r="I296" s="470"/>
      <c r="J296" s="470"/>
      <c r="K296" s="139"/>
      <c r="L296" s="154"/>
      <c r="N296" s="139"/>
      <c r="O296" s="139"/>
      <c r="P296" s="139"/>
      <c r="Q296" s="139"/>
      <c r="R296" s="154"/>
      <c r="S296" s="153"/>
      <c r="T296" s="153"/>
      <c r="U296" s="153"/>
      <c r="V296" s="153"/>
      <c r="W296" s="153"/>
      <c r="X296" s="153"/>
      <c r="Y296" s="153"/>
      <c r="Z296" s="153"/>
      <c r="AA296" s="153"/>
      <c r="AB296" s="153"/>
      <c r="AC296" s="153"/>
      <c r="AD296" s="153"/>
      <c r="AE296" s="153"/>
      <c r="AF296" s="153"/>
      <c r="AG296" s="153"/>
      <c r="AH296" s="153"/>
      <c r="AI296" s="153"/>
      <c r="AJ296" s="153"/>
      <c r="AK296" s="153"/>
      <c r="AL296" s="153"/>
      <c r="AM296" s="153"/>
      <c r="AN296" s="153"/>
      <c r="AO296" s="153"/>
      <c r="AP296" s="153"/>
      <c r="AQ296" s="153"/>
      <c r="AR296" s="153"/>
      <c r="AS296" s="153"/>
      <c r="AT296" s="153"/>
      <c r="AU296" s="153"/>
      <c r="AV296" s="153"/>
      <c r="AW296" s="153"/>
      <c r="AX296" s="153"/>
      <c r="AY296" s="153"/>
      <c r="AZ296" s="153"/>
      <c r="BA296" s="153"/>
      <c r="BB296" s="153"/>
      <c r="BC296" s="153"/>
      <c r="BD296" s="153"/>
      <c r="BE296" s="153"/>
      <c r="BF296" s="153"/>
      <c r="BG296" s="153"/>
      <c r="BH296" s="153"/>
      <c r="BI296" s="153"/>
      <c r="BJ296" s="153"/>
      <c r="BK296" s="153"/>
      <c r="BL296" s="153"/>
      <c r="BM296" s="153"/>
      <c r="BN296" s="153"/>
      <c r="BO296" s="153"/>
      <c r="BP296" s="153"/>
      <c r="BQ296" s="153"/>
      <c r="BR296" s="153"/>
      <c r="BS296" s="153"/>
      <c r="BT296" s="153"/>
      <c r="BU296" s="153"/>
      <c r="BV296" s="153"/>
      <c r="BW296" s="153"/>
      <c r="BX296" s="153"/>
      <c r="BY296" s="153"/>
      <c r="BZ296" s="153"/>
      <c r="CA296" s="153"/>
      <c r="CB296" s="153"/>
      <c r="CC296" s="153"/>
      <c r="CD296" s="153"/>
      <c r="CE296" s="153"/>
      <c r="CF296" s="153"/>
      <c r="CG296" s="153"/>
      <c r="CH296" s="153"/>
      <c r="CI296" s="153"/>
      <c r="CJ296" s="153"/>
      <c r="CK296" s="153"/>
      <c r="CL296" s="153"/>
      <c r="CM296" s="153"/>
      <c r="CN296" s="153"/>
      <c r="CO296" s="153"/>
      <c r="CP296" s="153"/>
      <c r="CQ296" s="153"/>
      <c r="CR296" s="153"/>
      <c r="CS296" s="153"/>
      <c r="CT296" s="153"/>
      <c r="CU296" s="153"/>
      <c r="CV296" s="153"/>
      <c r="CW296" s="153"/>
      <c r="CX296" s="153"/>
      <c r="CY296" s="153"/>
      <c r="CZ296" s="153"/>
      <c r="DA296" s="153"/>
      <c r="DB296" s="153"/>
      <c r="DC296" s="153"/>
      <c r="DD296" s="153"/>
      <c r="DE296" s="153"/>
      <c r="DF296" s="153"/>
      <c r="DG296" s="153"/>
      <c r="DH296" s="153"/>
      <c r="DI296" s="153"/>
      <c r="DJ296" s="153"/>
      <c r="DK296" s="153"/>
      <c r="DL296" s="153"/>
      <c r="DM296" s="153"/>
      <c r="DN296" s="153"/>
      <c r="DO296" s="153"/>
      <c r="DP296" s="153"/>
      <c r="DQ296" s="153"/>
      <c r="DR296" s="153"/>
      <c r="DS296" s="153"/>
      <c r="DT296" s="153"/>
      <c r="DU296" s="153"/>
      <c r="DV296" s="153"/>
      <c r="DW296" s="153"/>
      <c r="DX296" s="153"/>
      <c r="DY296" s="153"/>
      <c r="DZ296" s="153"/>
      <c r="EA296" s="153"/>
      <c r="EB296" s="153"/>
      <c r="EC296" s="153"/>
      <c r="ED296" s="153"/>
      <c r="EE296" s="153"/>
      <c r="EF296" s="153"/>
      <c r="EG296" s="153"/>
      <c r="EH296" s="153"/>
      <c r="EI296" s="153"/>
      <c r="EJ296" s="153"/>
      <c r="EK296" s="153"/>
      <c r="EL296" s="153"/>
      <c r="EM296" s="153"/>
      <c r="EN296" s="153"/>
      <c r="EO296" s="153"/>
      <c r="EP296" s="153"/>
      <c r="EQ296" s="153"/>
      <c r="ER296" s="153"/>
      <c r="ES296" s="153"/>
      <c r="ET296" s="153"/>
      <c r="EU296" s="153"/>
      <c r="EV296" s="153"/>
      <c r="EW296" s="153"/>
    </row>
    <row r="297" spans="1:153" s="152" customFormat="1" ht="15" x14ac:dyDescent="0.2">
      <c r="A297" s="415" t="s">
        <v>4297</v>
      </c>
      <c r="B297" s="139"/>
      <c r="C297" s="153"/>
      <c r="D297" s="151"/>
      <c r="E297" s="151"/>
      <c r="F297" s="137"/>
      <c r="G297" s="137"/>
      <c r="H297" s="137"/>
      <c r="I297" s="470"/>
      <c r="J297" s="470"/>
      <c r="K297" s="139"/>
      <c r="L297" s="154"/>
      <c r="N297" s="139"/>
      <c r="O297" s="139"/>
      <c r="P297" s="139"/>
      <c r="Q297" s="139"/>
      <c r="R297" s="154"/>
      <c r="S297" s="153"/>
      <c r="T297" s="153"/>
      <c r="U297" s="153"/>
      <c r="V297" s="153"/>
      <c r="W297" s="153"/>
      <c r="X297" s="153"/>
      <c r="Y297" s="153"/>
      <c r="Z297" s="153"/>
      <c r="AA297" s="153"/>
      <c r="AB297" s="153"/>
      <c r="AC297" s="153"/>
      <c r="AD297" s="153"/>
      <c r="AE297" s="153"/>
      <c r="AF297" s="153"/>
      <c r="AG297" s="153"/>
      <c r="AH297" s="153"/>
      <c r="AI297" s="153"/>
      <c r="AJ297" s="153"/>
      <c r="AK297" s="153"/>
      <c r="AL297" s="153"/>
      <c r="AM297" s="153"/>
      <c r="AN297" s="153"/>
      <c r="AO297" s="153"/>
      <c r="AP297" s="153"/>
      <c r="AQ297" s="153"/>
      <c r="AR297" s="153"/>
      <c r="AS297" s="153"/>
      <c r="AT297" s="153"/>
      <c r="AU297" s="153"/>
      <c r="AV297" s="153"/>
      <c r="AW297" s="153"/>
      <c r="AX297" s="153"/>
      <c r="AY297" s="153"/>
      <c r="AZ297" s="153"/>
      <c r="BA297" s="153"/>
      <c r="BB297" s="153"/>
      <c r="BC297" s="153"/>
      <c r="BD297" s="153"/>
      <c r="BE297" s="153"/>
      <c r="BF297" s="153"/>
      <c r="BG297" s="153"/>
      <c r="BH297" s="153"/>
      <c r="BI297" s="153"/>
      <c r="BJ297" s="153"/>
      <c r="BK297" s="153"/>
      <c r="BL297" s="153"/>
      <c r="BM297" s="153"/>
      <c r="BN297" s="153"/>
      <c r="BO297" s="153"/>
      <c r="BP297" s="153"/>
      <c r="BQ297" s="153"/>
      <c r="BR297" s="153"/>
      <c r="BS297" s="153"/>
      <c r="BT297" s="153"/>
      <c r="BU297" s="153"/>
      <c r="BV297" s="153"/>
      <c r="BW297" s="153"/>
      <c r="BX297" s="153"/>
      <c r="BY297" s="153"/>
      <c r="BZ297" s="153"/>
      <c r="CA297" s="153"/>
      <c r="CB297" s="153"/>
      <c r="CC297" s="153"/>
      <c r="CD297" s="153"/>
      <c r="CE297" s="153"/>
      <c r="CF297" s="153"/>
      <c r="CG297" s="153"/>
      <c r="CH297" s="153"/>
      <c r="CI297" s="153"/>
      <c r="CJ297" s="153"/>
      <c r="CK297" s="153"/>
      <c r="CL297" s="153"/>
      <c r="CM297" s="153"/>
      <c r="CN297" s="153"/>
      <c r="CO297" s="153"/>
      <c r="CP297" s="153"/>
      <c r="CQ297" s="153"/>
      <c r="CR297" s="153"/>
      <c r="CS297" s="153"/>
      <c r="CT297" s="153"/>
      <c r="CU297" s="153"/>
      <c r="CV297" s="153"/>
      <c r="CW297" s="153"/>
      <c r="CX297" s="153"/>
      <c r="CY297" s="153"/>
      <c r="CZ297" s="153"/>
      <c r="DA297" s="153"/>
      <c r="DB297" s="153"/>
      <c r="DC297" s="153"/>
      <c r="DD297" s="153"/>
      <c r="DE297" s="153"/>
      <c r="DF297" s="153"/>
      <c r="DG297" s="153"/>
      <c r="DH297" s="153"/>
      <c r="DI297" s="153"/>
      <c r="DJ297" s="153"/>
      <c r="DK297" s="153"/>
      <c r="DL297" s="153"/>
      <c r="DM297" s="153"/>
      <c r="DN297" s="153"/>
      <c r="DO297" s="153"/>
      <c r="DP297" s="153"/>
      <c r="DQ297" s="153"/>
      <c r="DR297" s="153"/>
      <c r="DS297" s="153"/>
      <c r="DT297" s="153"/>
      <c r="DU297" s="153"/>
      <c r="DV297" s="153"/>
      <c r="DW297" s="153"/>
      <c r="DX297" s="153"/>
      <c r="DY297" s="153"/>
      <c r="DZ297" s="153"/>
      <c r="EA297" s="153"/>
      <c r="EB297" s="153"/>
      <c r="EC297" s="153"/>
      <c r="ED297" s="153"/>
      <c r="EE297" s="153"/>
      <c r="EF297" s="153"/>
      <c r="EG297" s="153"/>
      <c r="EH297" s="153"/>
      <c r="EI297" s="153"/>
      <c r="EJ297" s="153"/>
      <c r="EK297" s="153"/>
      <c r="EL297" s="153"/>
      <c r="EM297" s="153"/>
      <c r="EN297" s="153"/>
      <c r="EO297" s="153"/>
      <c r="EP297" s="153"/>
      <c r="EQ297" s="153"/>
      <c r="ER297" s="153"/>
      <c r="ES297" s="153"/>
      <c r="ET297" s="153"/>
      <c r="EU297" s="153"/>
      <c r="EV297" s="153"/>
      <c r="EW297" s="153"/>
    </row>
    <row r="298" spans="1:153" s="152" customFormat="1" ht="15" x14ac:dyDescent="0.2">
      <c r="A298" s="415" t="s">
        <v>4313</v>
      </c>
      <c r="B298" s="139"/>
      <c r="C298" s="153"/>
      <c r="D298" s="151"/>
      <c r="E298" s="151"/>
      <c r="F298" s="137"/>
      <c r="G298" s="137"/>
      <c r="H298" s="137"/>
      <c r="I298" s="470"/>
      <c r="J298" s="470"/>
      <c r="K298" s="139"/>
      <c r="L298" s="154"/>
      <c r="N298" s="139"/>
      <c r="O298" s="139"/>
      <c r="P298" s="139"/>
      <c r="Q298" s="139"/>
      <c r="R298" s="154"/>
      <c r="S298" s="153"/>
      <c r="T298" s="153"/>
      <c r="U298" s="153"/>
      <c r="V298" s="153"/>
      <c r="W298" s="153"/>
      <c r="X298" s="153"/>
      <c r="Y298" s="153"/>
      <c r="Z298" s="153"/>
      <c r="AA298" s="153"/>
      <c r="AB298" s="153"/>
      <c r="AC298" s="153"/>
      <c r="AD298" s="153"/>
      <c r="AE298" s="153"/>
      <c r="AF298" s="153"/>
      <c r="AG298" s="153"/>
      <c r="AH298" s="153"/>
      <c r="AI298" s="153"/>
      <c r="AJ298" s="153"/>
      <c r="AK298" s="153"/>
      <c r="AL298" s="153"/>
      <c r="AM298" s="153"/>
      <c r="AN298" s="153"/>
      <c r="AO298" s="153"/>
      <c r="AP298" s="153"/>
      <c r="AQ298" s="153"/>
      <c r="AR298" s="153"/>
      <c r="AS298" s="153"/>
      <c r="AT298" s="153"/>
      <c r="AU298" s="153"/>
      <c r="AV298" s="153"/>
      <c r="AW298" s="153"/>
      <c r="AX298" s="153"/>
      <c r="AY298" s="153"/>
      <c r="AZ298" s="153"/>
      <c r="BA298" s="153"/>
      <c r="BB298" s="153"/>
      <c r="BC298" s="153"/>
      <c r="BD298" s="153"/>
      <c r="BE298" s="153"/>
      <c r="BF298" s="153"/>
      <c r="BG298" s="153"/>
      <c r="BH298" s="153"/>
      <c r="BI298" s="153"/>
      <c r="BJ298" s="153"/>
      <c r="BK298" s="153"/>
      <c r="BL298" s="153"/>
      <c r="BM298" s="153"/>
      <c r="BN298" s="153"/>
      <c r="BO298" s="153"/>
      <c r="BP298" s="153"/>
      <c r="BQ298" s="153"/>
      <c r="BR298" s="153"/>
      <c r="BS298" s="153"/>
      <c r="BT298" s="153"/>
      <c r="BU298" s="153"/>
      <c r="BV298" s="153"/>
      <c r="BW298" s="153"/>
      <c r="BX298" s="153"/>
      <c r="BY298" s="153"/>
      <c r="BZ298" s="153"/>
      <c r="CA298" s="153"/>
      <c r="CB298" s="153"/>
      <c r="CC298" s="153"/>
      <c r="CD298" s="153"/>
      <c r="CE298" s="153"/>
      <c r="CF298" s="153"/>
      <c r="CG298" s="153"/>
      <c r="CH298" s="153"/>
      <c r="CI298" s="153"/>
      <c r="CJ298" s="153"/>
      <c r="CK298" s="153"/>
      <c r="CL298" s="153"/>
      <c r="CM298" s="153"/>
      <c r="CN298" s="153"/>
      <c r="CO298" s="153"/>
      <c r="CP298" s="153"/>
      <c r="CQ298" s="153"/>
      <c r="CR298" s="153"/>
      <c r="CS298" s="153"/>
      <c r="CT298" s="153"/>
      <c r="CU298" s="153"/>
      <c r="CV298" s="153"/>
      <c r="CW298" s="153"/>
      <c r="CX298" s="153"/>
      <c r="CY298" s="153"/>
      <c r="CZ298" s="153"/>
      <c r="DA298" s="153"/>
      <c r="DB298" s="153"/>
      <c r="DC298" s="153"/>
      <c r="DD298" s="153"/>
      <c r="DE298" s="153"/>
      <c r="DF298" s="153"/>
      <c r="DG298" s="153"/>
      <c r="DH298" s="153"/>
      <c r="DI298" s="153"/>
      <c r="DJ298" s="153"/>
      <c r="DK298" s="153"/>
      <c r="DL298" s="153"/>
      <c r="DM298" s="153"/>
      <c r="DN298" s="153"/>
      <c r="DO298" s="153"/>
      <c r="DP298" s="153"/>
      <c r="DQ298" s="153"/>
      <c r="DR298" s="153"/>
      <c r="DS298" s="153"/>
      <c r="DT298" s="153"/>
      <c r="DU298" s="153"/>
      <c r="DV298" s="153"/>
      <c r="DW298" s="153"/>
      <c r="DX298" s="153"/>
      <c r="DY298" s="153"/>
      <c r="DZ298" s="153"/>
      <c r="EA298" s="153"/>
      <c r="EB298" s="153"/>
      <c r="EC298" s="153"/>
      <c r="ED298" s="153"/>
      <c r="EE298" s="153"/>
      <c r="EF298" s="153"/>
      <c r="EG298" s="153"/>
      <c r="EH298" s="153"/>
      <c r="EI298" s="153"/>
      <c r="EJ298" s="153"/>
      <c r="EK298" s="153"/>
      <c r="EL298" s="153"/>
      <c r="EM298" s="153"/>
      <c r="EN298" s="153"/>
      <c r="EO298" s="153"/>
      <c r="EP298" s="153"/>
      <c r="EQ298" s="153"/>
      <c r="ER298" s="153"/>
      <c r="ES298" s="153"/>
      <c r="ET298" s="153"/>
      <c r="EU298" s="153"/>
      <c r="EV298" s="153"/>
      <c r="EW298" s="153"/>
    </row>
    <row r="299" spans="1:153" s="152" customFormat="1" ht="15" x14ac:dyDescent="0.2">
      <c r="A299" s="415" t="s">
        <v>4336</v>
      </c>
      <c r="B299" s="139"/>
      <c r="C299" s="153"/>
      <c r="D299" s="151"/>
      <c r="E299" s="151"/>
      <c r="F299" s="137"/>
      <c r="G299" s="137"/>
      <c r="H299" s="137"/>
      <c r="I299" s="470"/>
      <c r="J299" s="470"/>
      <c r="K299" s="139"/>
      <c r="L299" s="154"/>
      <c r="N299" s="139"/>
      <c r="O299" s="139"/>
      <c r="P299" s="139"/>
      <c r="Q299" s="139"/>
      <c r="R299" s="154"/>
      <c r="S299" s="153"/>
      <c r="T299" s="153"/>
      <c r="U299" s="153"/>
      <c r="V299" s="153"/>
      <c r="W299" s="153"/>
      <c r="X299" s="153"/>
      <c r="Y299" s="153"/>
      <c r="Z299" s="153"/>
      <c r="AA299" s="153"/>
      <c r="AB299" s="153"/>
      <c r="AC299" s="153"/>
      <c r="AD299" s="153"/>
      <c r="AE299" s="153"/>
      <c r="AF299" s="153"/>
      <c r="AG299" s="153"/>
      <c r="AH299" s="153"/>
      <c r="AI299" s="153"/>
      <c r="AJ299" s="153"/>
      <c r="AK299" s="153"/>
      <c r="AL299" s="153"/>
      <c r="AM299" s="153"/>
      <c r="AN299" s="153"/>
      <c r="AO299" s="153"/>
      <c r="AP299" s="153"/>
      <c r="AQ299" s="153"/>
      <c r="AR299" s="153"/>
      <c r="AS299" s="153"/>
      <c r="AT299" s="153"/>
      <c r="AU299" s="153"/>
      <c r="AV299" s="153"/>
      <c r="AW299" s="153"/>
      <c r="AX299" s="153"/>
      <c r="AY299" s="153"/>
      <c r="AZ299" s="153"/>
      <c r="BA299" s="153"/>
      <c r="BB299" s="153"/>
      <c r="BC299" s="153"/>
      <c r="BD299" s="153"/>
      <c r="BE299" s="153"/>
      <c r="BF299" s="153"/>
      <c r="BG299" s="153"/>
      <c r="BH299" s="153"/>
      <c r="BI299" s="153"/>
      <c r="BJ299" s="153"/>
      <c r="BK299" s="153"/>
      <c r="BL299" s="153"/>
      <c r="BM299" s="153"/>
      <c r="BN299" s="153"/>
      <c r="BO299" s="153"/>
      <c r="BP299" s="153"/>
      <c r="BQ299" s="153"/>
      <c r="BR299" s="153"/>
      <c r="BS299" s="153"/>
      <c r="BT299" s="153"/>
      <c r="BU299" s="153"/>
      <c r="BV299" s="153"/>
      <c r="BW299" s="153"/>
      <c r="BX299" s="153"/>
      <c r="BY299" s="153"/>
      <c r="BZ299" s="153"/>
      <c r="CA299" s="153"/>
      <c r="CB299" s="153"/>
      <c r="CC299" s="153"/>
      <c r="CD299" s="153"/>
      <c r="CE299" s="153"/>
      <c r="CF299" s="153"/>
      <c r="CG299" s="153"/>
      <c r="CH299" s="153"/>
      <c r="CI299" s="153"/>
      <c r="CJ299" s="153"/>
      <c r="CK299" s="153"/>
      <c r="CL299" s="153"/>
      <c r="CM299" s="153"/>
      <c r="CN299" s="153"/>
      <c r="CO299" s="153"/>
      <c r="CP299" s="153"/>
      <c r="CQ299" s="153"/>
      <c r="CR299" s="153"/>
      <c r="CS299" s="153"/>
      <c r="CT299" s="153"/>
      <c r="CU299" s="153"/>
      <c r="CV299" s="153"/>
      <c r="CW299" s="153"/>
      <c r="CX299" s="153"/>
      <c r="CY299" s="153"/>
      <c r="CZ299" s="153"/>
      <c r="DA299" s="153"/>
      <c r="DB299" s="153"/>
      <c r="DC299" s="153"/>
      <c r="DD299" s="153"/>
      <c r="DE299" s="153"/>
      <c r="DF299" s="153"/>
      <c r="DG299" s="153"/>
      <c r="DH299" s="153"/>
      <c r="DI299" s="153"/>
      <c r="DJ299" s="153"/>
      <c r="DK299" s="153"/>
      <c r="DL299" s="153"/>
      <c r="DM299" s="153"/>
      <c r="DN299" s="153"/>
      <c r="DO299" s="153"/>
      <c r="DP299" s="153"/>
      <c r="DQ299" s="153"/>
      <c r="DR299" s="153"/>
      <c r="DS299" s="153"/>
      <c r="DT299" s="153"/>
      <c r="DU299" s="153"/>
      <c r="DV299" s="153"/>
      <c r="DW299" s="153"/>
      <c r="DX299" s="153"/>
      <c r="DY299" s="153"/>
      <c r="DZ299" s="153"/>
      <c r="EA299" s="153"/>
      <c r="EB299" s="153"/>
      <c r="EC299" s="153"/>
      <c r="ED299" s="153"/>
      <c r="EE299" s="153"/>
      <c r="EF299" s="153"/>
      <c r="EG299" s="153"/>
      <c r="EH299" s="153"/>
      <c r="EI299" s="153"/>
      <c r="EJ299" s="153"/>
      <c r="EK299" s="153"/>
      <c r="EL299" s="153"/>
      <c r="EM299" s="153"/>
      <c r="EN299" s="153"/>
      <c r="EO299" s="153"/>
      <c r="EP299" s="153"/>
      <c r="EQ299" s="153"/>
      <c r="ER299" s="153"/>
      <c r="ES299" s="153"/>
      <c r="ET299" s="153"/>
      <c r="EU299" s="153"/>
      <c r="EV299" s="153"/>
      <c r="EW299" s="153"/>
    </row>
    <row r="300" spans="1:153" s="152" customFormat="1" ht="15" x14ac:dyDescent="0.25">
      <c r="A300" s="455" t="s">
        <v>4337</v>
      </c>
      <c r="B300" s="139"/>
      <c r="C300" s="153"/>
      <c r="D300" s="151"/>
      <c r="E300" s="151"/>
      <c r="F300" s="137"/>
      <c r="G300" s="137"/>
      <c r="H300" s="137"/>
      <c r="I300" s="470"/>
      <c r="J300" s="470"/>
      <c r="K300" s="139"/>
      <c r="L300" s="154"/>
      <c r="N300" s="139"/>
      <c r="O300" s="139"/>
      <c r="P300" s="139"/>
      <c r="Q300" s="139"/>
      <c r="R300" s="154"/>
      <c r="S300" s="153"/>
      <c r="T300" s="153"/>
      <c r="U300" s="153"/>
      <c r="V300" s="153"/>
      <c r="W300" s="153"/>
      <c r="X300" s="153"/>
      <c r="Y300" s="153"/>
      <c r="Z300" s="153"/>
      <c r="AA300" s="153"/>
      <c r="AB300" s="153"/>
      <c r="AC300" s="153"/>
      <c r="AD300" s="153"/>
      <c r="AE300" s="153"/>
      <c r="AF300" s="153"/>
      <c r="AG300" s="153"/>
      <c r="AH300" s="153"/>
      <c r="AI300" s="153"/>
      <c r="AJ300" s="153"/>
      <c r="AK300" s="153"/>
      <c r="AL300" s="153"/>
      <c r="AM300" s="153"/>
      <c r="AN300" s="153"/>
      <c r="AO300" s="153"/>
      <c r="AP300" s="153"/>
      <c r="AQ300" s="153"/>
      <c r="AR300" s="153"/>
      <c r="AS300" s="153"/>
      <c r="AT300" s="153"/>
      <c r="AU300" s="153"/>
      <c r="AV300" s="153"/>
      <c r="AW300" s="153"/>
      <c r="AX300" s="153"/>
      <c r="AY300" s="153"/>
      <c r="AZ300" s="153"/>
      <c r="BA300" s="153"/>
      <c r="BB300" s="153"/>
      <c r="BC300" s="153"/>
      <c r="BD300" s="153"/>
      <c r="BE300" s="153"/>
      <c r="BF300" s="153"/>
      <c r="BG300" s="153"/>
      <c r="BH300" s="153"/>
      <c r="BI300" s="153"/>
      <c r="BJ300" s="153"/>
      <c r="BK300" s="153"/>
      <c r="BL300" s="153"/>
      <c r="BM300" s="153"/>
      <c r="BN300" s="153"/>
      <c r="BO300" s="153"/>
      <c r="BP300" s="153"/>
      <c r="BQ300" s="153"/>
      <c r="BR300" s="153"/>
      <c r="BS300" s="153"/>
      <c r="BT300" s="153"/>
      <c r="BU300" s="153"/>
      <c r="BV300" s="153"/>
      <c r="BW300" s="153"/>
      <c r="BX300" s="153"/>
      <c r="BY300" s="153"/>
      <c r="BZ300" s="153"/>
      <c r="CA300" s="153"/>
      <c r="CB300" s="153"/>
      <c r="CC300" s="153"/>
      <c r="CD300" s="153"/>
      <c r="CE300" s="153"/>
      <c r="CF300" s="153"/>
      <c r="CG300" s="153"/>
      <c r="CH300" s="153"/>
      <c r="CI300" s="153"/>
      <c r="CJ300" s="153"/>
      <c r="CK300" s="153"/>
      <c r="CL300" s="153"/>
      <c r="CM300" s="153"/>
      <c r="CN300" s="153"/>
      <c r="CO300" s="153"/>
      <c r="CP300" s="153"/>
      <c r="CQ300" s="153"/>
      <c r="CR300" s="153"/>
      <c r="CS300" s="153"/>
      <c r="CT300" s="153"/>
      <c r="CU300" s="153"/>
      <c r="CV300" s="153"/>
      <c r="CW300" s="153"/>
      <c r="CX300" s="153"/>
      <c r="CY300" s="153"/>
      <c r="CZ300" s="153"/>
      <c r="DA300" s="153"/>
      <c r="DB300" s="153"/>
      <c r="DC300" s="153"/>
      <c r="DD300" s="153"/>
      <c r="DE300" s="153"/>
      <c r="DF300" s="153"/>
      <c r="DG300" s="153"/>
      <c r="DH300" s="153"/>
      <c r="DI300" s="153"/>
      <c r="DJ300" s="153"/>
      <c r="DK300" s="153"/>
      <c r="DL300" s="153"/>
      <c r="DM300" s="153"/>
      <c r="DN300" s="153"/>
      <c r="DO300" s="153"/>
      <c r="DP300" s="153"/>
      <c r="DQ300" s="153"/>
      <c r="DR300" s="153"/>
      <c r="DS300" s="153"/>
      <c r="DT300" s="153"/>
      <c r="DU300" s="153"/>
      <c r="DV300" s="153"/>
      <c r="DW300" s="153"/>
      <c r="DX300" s="153"/>
      <c r="DY300" s="153"/>
      <c r="DZ300" s="153"/>
      <c r="EA300" s="153"/>
      <c r="EB300" s="153"/>
      <c r="EC300" s="153"/>
      <c r="ED300" s="153"/>
      <c r="EE300" s="153"/>
      <c r="EF300" s="153"/>
      <c r="EG300" s="153"/>
      <c r="EH300" s="153"/>
      <c r="EI300" s="153"/>
      <c r="EJ300" s="153"/>
      <c r="EK300" s="153"/>
      <c r="EL300" s="153"/>
      <c r="EM300" s="153"/>
      <c r="EN300" s="153"/>
      <c r="EO300" s="153"/>
      <c r="EP300" s="153"/>
      <c r="EQ300" s="153"/>
      <c r="ER300" s="153"/>
      <c r="ES300" s="153"/>
      <c r="ET300" s="153"/>
      <c r="EU300" s="153"/>
      <c r="EV300" s="153"/>
      <c r="EW300" s="153"/>
    </row>
    <row r="301" spans="1:153" s="152" customFormat="1" ht="15" x14ac:dyDescent="0.25">
      <c r="A301" s="500" t="s">
        <v>4344</v>
      </c>
      <c r="B301" s="139"/>
      <c r="C301" s="153"/>
      <c r="D301" s="151"/>
      <c r="E301" s="151"/>
      <c r="F301" s="137"/>
      <c r="G301" s="137"/>
      <c r="H301" s="137"/>
      <c r="I301" s="470"/>
      <c r="J301" s="470"/>
      <c r="K301" s="139"/>
      <c r="L301" s="154"/>
      <c r="N301" s="139"/>
      <c r="O301" s="139"/>
      <c r="P301" s="139"/>
      <c r="Q301" s="139"/>
      <c r="R301" s="154"/>
      <c r="S301" s="153"/>
      <c r="T301" s="153"/>
      <c r="U301" s="153"/>
      <c r="V301" s="153"/>
      <c r="W301" s="153"/>
      <c r="X301" s="153"/>
      <c r="Y301" s="153"/>
      <c r="Z301" s="153"/>
      <c r="AA301" s="153"/>
      <c r="AB301" s="153"/>
      <c r="AC301" s="153"/>
      <c r="AD301" s="153"/>
      <c r="AE301" s="153"/>
      <c r="AF301" s="153"/>
      <c r="AG301" s="153"/>
      <c r="AH301" s="153"/>
      <c r="AI301" s="153"/>
      <c r="AJ301" s="153"/>
      <c r="AK301" s="153"/>
      <c r="AL301" s="153"/>
      <c r="AM301" s="153"/>
      <c r="AN301" s="153"/>
      <c r="AO301" s="153"/>
      <c r="AP301" s="153"/>
      <c r="AQ301" s="153"/>
      <c r="AR301" s="153"/>
      <c r="AS301" s="153"/>
      <c r="AT301" s="153"/>
      <c r="AU301" s="153"/>
      <c r="AV301" s="153"/>
      <c r="AW301" s="153"/>
      <c r="AX301" s="153"/>
      <c r="AY301" s="153"/>
      <c r="AZ301" s="153"/>
      <c r="BA301" s="153"/>
      <c r="BB301" s="153"/>
      <c r="BC301" s="153"/>
      <c r="BD301" s="153"/>
      <c r="BE301" s="153"/>
      <c r="BF301" s="153"/>
      <c r="BG301" s="153"/>
      <c r="BH301" s="153"/>
      <c r="BI301" s="153"/>
      <c r="BJ301" s="153"/>
      <c r="BK301" s="153"/>
      <c r="BL301" s="153"/>
      <c r="BM301" s="153"/>
      <c r="BN301" s="153"/>
      <c r="BO301" s="153"/>
      <c r="BP301" s="153"/>
      <c r="BQ301" s="153"/>
      <c r="BR301" s="153"/>
      <c r="BS301" s="153"/>
      <c r="BT301" s="153"/>
      <c r="BU301" s="153"/>
      <c r="BV301" s="153"/>
      <c r="BW301" s="153"/>
      <c r="BX301" s="153"/>
      <c r="BY301" s="153"/>
      <c r="BZ301" s="153"/>
      <c r="CA301" s="153"/>
      <c r="CB301" s="153"/>
      <c r="CC301" s="153"/>
      <c r="CD301" s="153"/>
      <c r="CE301" s="153"/>
      <c r="CF301" s="153"/>
      <c r="CG301" s="153"/>
      <c r="CH301" s="153"/>
      <c r="CI301" s="153"/>
      <c r="CJ301" s="153"/>
      <c r="CK301" s="153"/>
      <c r="CL301" s="153"/>
      <c r="CM301" s="153"/>
      <c r="CN301" s="153"/>
      <c r="CO301" s="153"/>
      <c r="CP301" s="153"/>
      <c r="CQ301" s="153"/>
      <c r="CR301" s="153"/>
      <c r="CS301" s="153"/>
      <c r="CT301" s="153"/>
      <c r="CU301" s="153"/>
      <c r="CV301" s="153"/>
      <c r="CW301" s="153"/>
      <c r="CX301" s="153"/>
      <c r="CY301" s="153"/>
      <c r="CZ301" s="153"/>
      <c r="DA301" s="153"/>
      <c r="DB301" s="153"/>
      <c r="DC301" s="153"/>
      <c r="DD301" s="153"/>
      <c r="DE301" s="153"/>
      <c r="DF301" s="153"/>
      <c r="DG301" s="153"/>
      <c r="DH301" s="153"/>
      <c r="DI301" s="153"/>
      <c r="DJ301" s="153"/>
      <c r="DK301" s="153"/>
      <c r="DL301" s="153"/>
      <c r="DM301" s="153"/>
      <c r="DN301" s="153"/>
      <c r="DO301" s="153"/>
      <c r="DP301" s="153"/>
      <c r="DQ301" s="153"/>
      <c r="DR301" s="153"/>
      <c r="DS301" s="153"/>
      <c r="DT301" s="153"/>
      <c r="DU301" s="153"/>
      <c r="DV301" s="153"/>
      <c r="DW301" s="153"/>
      <c r="DX301" s="153"/>
      <c r="DY301" s="153"/>
      <c r="DZ301" s="153"/>
      <c r="EA301" s="153"/>
      <c r="EB301" s="153"/>
      <c r="EC301" s="153"/>
      <c r="ED301" s="153"/>
      <c r="EE301" s="153"/>
      <c r="EF301" s="153"/>
      <c r="EG301" s="153"/>
      <c r="EH301" s="153"/>
      <c r="EI301" s="153"/>
      <c r="EJ301" s="153"/>
      <c r="EK301" s="153"/>
      <c r="EL301" s="153"/>
      <c r="EM301" s="153"/>
      <c r="EN301" s="153"/>
      <c r="EO301" s="153"/>
      <c r="EP301" s="153"/>
      <c r="EQ301" s="153"/>
      <c r="ER301" s="153"/>
      <c r="ES301" s="153"/>
      <c r="ET301" s="153"/>
      <c r="EU301" s="153"/>
      <c r="EV301" s="153"/>
      <c r="EW301" s="153"/>
    </row>
    <row r="302" spans="1:153" s="152" customFormat="1" ht="15" x14ac:dyDescent="0.25">
      <c r="A302" s="500"/>
      <c r="B302" s="139"/>
      <c r="C302" s="153"/>
      <c r="D302" s="151"/>
      <c r="E302" s="151"/>
      <c r="F302" s="137"/>
      <c r="G302" s="137"/>
      <c r="H302" s="137"/>
      <c r="I302" s="470"/>
      <c r="J302" s="470"/>
      <c r="K302" s="139"/>
      <c r="L302" s="154"/>
      <c r="N302" s="139"/>
      <c r="O302" s="139"/>
      <c r="P302" s="139"/>
      <c r="Q302" s="139"/>
      <c r="R302" s="154"/>
      <c r="S302" s="153"/>
      <c r="T302" s="153"/>
      <c r="U302" s="153"/>
      <c r="V302" s="153"/>
      <c r="W302" s="153"/>
      <c r="X302" s="153"/>
      <c r="Y302" s="153"/>
      <c r="Z302" s="153"/>
      <c r="AA302" s="153"/>
      <c r="AB302" s="153"/>
      <c r="AC302" s="153"/>
      <c r="AD302" s="153"/>
      <c r="AE302" s="153"/>
      <c r="AF302" s="153"/>
      <c r="AG302" s="153"/>
      <c r="AH302" s="153"/>
      <c r="AI302" s="153"/>
      <c r="AJ302" s="153"/>
      <c r="AK302" s="153"/>
      <c r="AL302" s="153"/>
      <c r="AM302" s="153"/>
      <c r="AN302" s="153"/>
      <c r="AO302" s="153"/>
      <c r="AP302" s="153"/>
      <c r="AQ302" s="153"/>
      <c r="AR302" s="153"/>
      <c r="AS302" s="153"/>
      <c r="AT302" s="153"/>
      <c r="AU302" s="153"/>
      <c r="AV302" s="153"/>
      <c r="AW302" s="153"/>
      <c r="AX302" s="153"/>
      <c r="AY302" s="153"/>
      <c r="AZ302" s="153"/>
      <c r="BA302" s="153"/>
      <c r="BB302" s="153"/>
      <c r="BC302" s="153"/>
      <c r="BD302" s="153"/>
      <c r="BE302" s="153"/>
      <c r="BF302" s="153"/>
      <c r="BG302" s="153"/>
      <c r="BH302" s="153"/>
      <c r="BI302" s="153"/>
      <c r="BJ302" s="153"/>
      <c r="BK302" s="153"/>
      <c r="BL302" s="153"/>
      <c r="BM302" s="153"/>
      <c r="BN302" s="153"/>
      <c r="BO302" s="153"/>
      <c r="BP302" s="153"/>
      <c r="BQ302" s="153"/>
      <c r="BR302" s="153"/>
      <c r="BS302" s="153"/>
      <c r="BT302" s="153"/>
      <c r="BU302" s="153"/>
      <c r="BV302" s="153"/>
      <c r="BW302" s="153"/>
      <c r="BX302" s="153"/>
      <c r="BY302" s="153"/>
      <c r="BZ302" s="153"/>
      <c r="CA302" s="153"/>
      <c r="CB302" s="153"/>
      <c r="CC302" s="153"/>
      <c r="CD302" s="153"/>
      <c r="CE302" s="153"/>
      <c r="CF302" s="153"/>
      <c r="CG302" s="153"/>
      <c r="CH302" s="153"/>
      <c r="CI302" s="153"/>
      <c r="CJ302" s="153"/>
      <c r="CK302" s="153"/>
      <c r="CL302" s="153"/>
      <c r="CM302" s="153"/>
      <c r="CN302" s="153"/>
      <c r="CO302" s="153"/>
      <c r="CP302" s="153"/>
      <c r="CQ302" s="153"/>
      <c r="CR302" s="153"/>
      <c r="CS302" s="153"/>
      <c r="CT302" s="153"/>
      <c r="CU302" s="153"/>
      <c r="CV302" s="153"/>
      <c r="CW302" s="153"/>
      <c r="CX302" s="153"/>
      <c r="CY302" s="153"/>
      <c r="CZ302" s="153"/>
      <c r="DA302" s="153"/>
      <c r="DB302" s="153"/>
      <c r="DC302" s="153"/>
      <c r="DD302" s="153"/>
      <c r="DE302" s="153"/>
      <c r="DF302" s="153"/>
      <c r="DG302" s="153"/>
      <c r="DH302" s="153"/>
      <c r="DI302" s="153"/>
      <c r="DJ302" s="153"/>
      <c r="DK302" s="153"/>
      <c r="DL302" s="153"/>
      <c r="DM302" s="153"/>
      <c r="DN302" s="153"/>
      <c r="DO302" s="153"/>
      <c r="DP302" s="153"/>
      <c r="DQ302" s="153"/>
      <c r="DR302" s="153"/>
      <c r="DS302" s="153"/>
      <c r="DT302" s="153"/>
      <c r="DU302" s="153"/>
      <c r="DV302" s="153"/>
      <c r="DW302" s="153"/>
      <c r="DX302" s="153"/>
      <c r="DY302" s="153"/>
      <c r="DZ302" s="153"/>
      <c r="EA302" s="153"/>
      <c r="EB302" s="153"/>
      <c r="EC302" s="153"/>
      <c r="ED302" s="153"/>
      <c r="EE302" s="153"/>
      <c r="EF302" s="153"/>
      <c r="EG302" s="153"/>
      <c r="EH302" s="153"/>
      <c r="EI302" s="153"/>
      <c r="EJ302" s="153"/>
      <c r="EK302" s="153"/>
      <c r="EL302" s="153"/>
      <c r="EM302" s="153"/>
      <c r="EN302" s="153"/>
      <c r="EO302" s="153"/>
      <c r="EP302" s="153"/>
      <c r="EQ302" s="153"/>
      <c r="ER302" s="153"/>
      <c r="ES302" s="153"/>
      <c r="ET302" s="153"/>
      <c r="EU302" s="153"/>
      <c r="EV302" s="153"/>
      <c r="EW302" s="153"/>
    </row>
    <row r="303" spans="1:153" s="152" customFormat="1" ht="15" x14ac:dyDescent="0.25">
      <c r="A303" s="500"/>
      <c r="B303" s="139"/>
      <c r="C303" s="153"/>
      <c r="D303" s="151"/>
      <c r="E303" s="151"/>
      <c r="F303" s="137"/>
      <c r="G303" s="137"/>
      <c r="H303" s="137"/>
      <c r="I303" s="470"/>
      <c r="J303" s="470"/>
      <c r="K303" s="139"/>
      <c r="L303" s="154"/>
      <c r="N303" s="139"/>
      <c r="O303" s="139"/>
      <c r="P303" s="139"/>
      <c r="Q303" s="139"/>
      <c r="R303" s="154"/>
      <c r="S303" s="153"/>
      <c r="T303" s="153"/>
      <c r="U303" s="153"/>
      <c r="V303" s="153"/>
      <c r="W303" s="153"/>
      <c r="X303" s="153"/>
      <c r="Y303" s="153"/>
      <c r="Z303" s="153"/>
      <c r="AA303" s="153"/>
      <c r="AB303" s="153"/>
      <c r="AC303" s="153"/>
      <c r="AD303" s="153"/>
      <c r="AE303" s="153"/>
      <c r="AF303" s="153"/>
      <c r="AG303" s="153"/>
      <c r="AH303" s="153"/>
      <c r="AI303" s="153"/>
      <c r="AJ303" s="153"/>
      <c r="AK303" s="153"/>
      <c r="AL303" s="153"/>
      <c r="AM303" s="153"/>
      <c r="AN303" s="153"/>
      <c r="AO303" s="153"/>
      <c r="AP303" s="153"/>
      <c r="AQ303" s="153"/>
      <c r="AR303" s="153"/>
      <c r="AS303" s="153"/>
      <c r="AT303" s="153"/>
      <c r="AU303" s="153"/>
      <c r="AV303" s="153"/>
      <c r="AW303" s="153"/>
      <c r="AX303" s="153"/>
      <c r="AY303" s="153"/>
      <c r="AZ303" s="153"/>
      <c r="BA303" s="153"/>
      <c r="BB303" s="153"/>
      <c r="BC303" s="153"/>
      <c r="BD303" s="153"/>
      <c r="BE303" s="153"/>
      <c r="BF303" s="153"/>
      <c r="BG303" s="153"/>
      <c r="BH303" s="153"/>
      <c r="BI303" s="153"/>
      <c r="BJ303" s="153"/>
      <c r="BK303" s="153"/>
      <c r="BL303" s="153"/>
      <c r="BM303" s="153"/>
      <c r="BN303" s="153"/>
      <c r="BO303" s="153"/>
      <c r="BP303" s="153"/>
      <c r="BQ303" s="153"/>
      <c r="BR303" s="153"/>
      <c r="BS303" s="153"/>
      <c r="BT303" s="153"/>
      <c r="BU303" s="153"/>
      <c r="BV303" s="153"/>
      <c r="BW303" s="153"/>
      <c r="BX303" s="153"/>
      <c r="BY303" s="153"/>
      <c r="BZ303" s="153"/>
      <c r="CA303" s="153"/>
      <c r="CB303" s="153"/>
      <c r="CC303" s="153"/>
      <c r="CD303" s="153"/>
      <c r="CE303" s="153"/>
      <c r="CF303" s="153"/>
      <c r="CG303" s="153"/>
      <c r="CH303" s="153"/>
      <c r="CI303" s="153"/>
      <c r="CJ303" s="153"/>
      <c r="CK303" s="153"/>
      <c r="CL303" s="153"/>
      <c r="CM303" s="153"/>
      <c r="CN303" s="153"/>
      <c r="CO303" s="153"/>
      <c r="CP303" s="153"/>
      <c r="CQ303" s="153"/>
      <c r="CR303" s="153"/>
      <c r="CS303" s="153"/>
      <c r="CT303" s="153"/>
      <c r="CU303" s="153"/>
      <c r="CV303" s="153"/>
      <c r="CW303" s="153"/>
      <c r="CX303" s="153"/>
      <c r="CY303" s="153"/>
      <c r="CZ303" s="153"/>
      <c r="DA303" s="153"/>
      <c r="DB303" s="153"/>
      <c r="DC303" s="153"/>
      <c r="DD303" s="153"/>
      <c r="DE303" s="153"/>
      <c r="DF303" s="153"/>
      <c r="DG303" s="153"/>
      <c r="DH303" s="153"/>
      <c r="DI303" s="153"/>
      <c r="DJ303" s="153"/>
      <c r="DK303" s="153"/>
      <c r="DL303" s="153"/>
      <c r="DM303" s="153"/>
      <c r="DN303" s="153"/>
      <c r="DO303" s="153"/>
      <c r="DP303" s="153"/>
      <c r="DQ303" s="153"/>
      <c r="DR303" s="153"/>
      <c r="DS303" s="153"/>
      <c r="DT303" s="153"/>
      <c r="DU303" s="153"/>
      <c r="DV303" s="153"/>
      <c r="DW303" s="153"/>
      <c r="DX303" s="153"/>
      <c r="DY303" s="153"/>
      <c r="DZ303" s="153"/>
      <c r="EA303" s="153"/>
      <c r="EB303" s="153"/>
      <c r="EC303" s="153"/>
      <c r="ED303" s="153"/>
      <c r="EE303" s="153"/>
      <c r="EF303" s="153"/>
      <c r="EG303" s="153"/>
      <c r="EH303" s="153"/>
      <c r="EI303" s="153"/>
      <c r="EJ303" s="153"/>
      <c r="EK303" s="153"/>
      <c r="EL303" s="153"/>
      <c r="EM303" s="153"/>
      <c r="EN303" s="153"/>
      <c r="EO303" s="153"/>
      <c r="EP303" s="153"/>
      <c r="EQ303" s="153"/>
      <c r="ER303" s="153"/>
      <c r="ES303" s="153"/>
      <c r="ET303" s="153"/>
      <c r="EU303" s="153"/>
      <c r="EV303" s="153"/>
      <c r="EW303" s="153"/>
    </row>
    <row r="304" spans="1:153" s="141" customFormat="1" ht="31.5" x14ac:dyDescent="0.5">
      <c r="A304" s="865" t="s">
        <v>4716</v>
      </c>
      <c r="C304" s="135"/>
      <c r="D304" s="136"/>
      <c r="E304" s="136"/>
      <c r="F304" s="137"/>
      <c r="G304" s="138"/>
      <c r="H304" s="138"/>
      <c r="I304" s="463"/>
      <c r="J304" s="463"/>
      <c r="K304" s="139"/>
      <c r="L304" s="140"/>
      <c r="N304" s="134"/>
      <c r="O304" s="134"/>
      <c r="P304" s="134"/>
      <c r="Q304" s="134"/>
      <c r="R304" s="140"/>
      <c r="S304" s="135"/>
      <c r="T304" s="135"/>
      <c r="U304" s="135"/>
      <c r="V304" s="135"/>
      <c r="W304" s="135"/>
      <c r="X304" s="135"/>
      <c r="Y304" s="135"/>
      <c r="Z304" s="135"/>
      <c r="AA304" s="135"/>
      <c r="AB304" s="135"/>
      <c r="AC304" s="135"/>
      <c r="AD304" s="135"/>
      <c r="AE304" s="135"/>
      <c r="AF304" s="135"/>
      <c r="AG304" s="135"/>
      <c r="AH304" s="135"/>
      <c r="AI304" s="135"/>
      <c r="AJ304" s="135"/>
      <c r="AK304" s="135"/>
      <c r="AL304" s="135"/>
      <c r="AM304" s="135"/>
      <c r="AN304" s="135"/>
      <c r="AO304" s="135"/>
      <c r="AP304" s="135"/>
      <c r="AQ304" s="135"/>
      <c r="AR304" s="135"/>
      <c r="AS304" s="135"/>
      <c r="AT304" s="135"/>
      <c r="AU304" s="135"/>
      <c r="AV304" s="135"/>
      <c r="AW304" s="135"/>
      <c r="AX304" s="135"/>
      <c r="AY304" s="135"/>
      <c r="AZ304" s="135"/>
      <c r="BA304" s="135"/>
      <c r="BB304" s="135"/>
      <c r="BC304" s="135"/>
      <c r="BD304" s="135"/>
      <c r="BE304" s="135"/>
      <c r="BF304" s="135"/>
      <c r="BG304" s="135"/>
      <c r="BH304" s="135"/>
      <c r="BI304" s="135"/>
      <c r="BJ304" s="135"/>
      <c r="BK304" s="135"/>
      <c r="BL304" s="135"/>
      <c r="BM304" s="135"/>
      <c r="BN304" s="135"/>
      <c r="BO304" s="135"/>
      <c r="BP304" s="135"/>
      <c r="BQ304" s="135"/>
      <c r="BR304" s="135"/>
      <c r="BS304" s="135"/>
      <c r="BT304" s="135"/>
      <c r="BU304" s="135"/>
      <c r="BV304" s="135"/>
      <c r="BW304" s="135"/>
      <c r="BX304" s="135"/>
      <c r="BY304" s="135"/>
      <c r="BZ304" s="135"/>
      <c r="CA304" s="135"/>
      <c r="CB304" s="135"/>
      <c r="CC304" s="135"/>
      <c r="CD304" s="135"/>
      <c r="CE304" s="135"/>
      <c r="CF304" s="135"/>
      <c r="CG304" s="135"/>
      <c r="CH304" s="135"/>
      <c r="CI304" s="135"/>
      <c r="CJ304" s="135"/>
      <c r="CK304" s="135"/>
      <c r="CL304" s="135"/>
      <c r="CM304" s="135"/>
      <c r="CN304" s="135"/>
      <c r="CO304" s="135"/>
      <c r="CP304" s="135"/>
      <c r="CQ304" s="135"/>
      <c r="CR304" s="135"/>
      <c r="CS304" s="135"/>
      <c r="CT304" s="135"/>
      <c r="CU304" s="135"/>
      <c r="CV304" s="135"/>
      <c r="CW304" s="135"/>
      <c r="CX304" s="135"/>
      <c r="CY304" s="135"/>
      <c r="CZ304" s="135"/>
      <c r="DA304" s="135"/>
      <c r="DB304" s="135"/>
      <c r="DC304" s="135"/>
      <c r="DD304" s="135"/>
      <c r="DE304" s="135"/>
      <c r="DF304" s="135"/>
      <c r="DG304" s="135"/>
      <c r="DH304" s="135"/>
      <c r="DI304" s="135"/>
      <c r="DJ304" s="135"/>
      <c r="DK304" s="135"/>
      <c r="DL304" s="135"/>
      <c r="DM304" s="135"/>
      <c r="DN304" s="135"/>
      <c r="DO304" s="135"/>
      <c r="DP304" s="135"/>
      <c r="DQ304" s="135"/>
      <c r="DR304" s="135"/>
      <c r="DS304" s="135"/>
      <c r="DT304" s="135"/>
      <c r="DU304" s="135"/>
      <c r="DV304" s="135"/>
      <c r="DW304" s="135"/>
      <c r="DX304" s="135"/>
      <c r="DY304" s="135"/>
      <c r="DZ304" s="135"/>
      <c r="EA304" s="135"/>
      <c r="EB304" s="135"/>
      <c r="EC304" s="135"/>
      <c r="ED304" s="135"/>
      <c r="EE304" s="135"/>
      <c r="EF304" s="135"/>
      <c r="EG304" s="135"/>
      <c r="EH304" s="135"/>
      <c r="EI304" s="135"/>
      <c r="EJ304" s="135"/>
      <c r="EK304" s="135"/>
      <c r="EL304" s="135"/>
      <c r="EM304" s="135"/>
      <c r="EN304" s="135"/>
      <c r="EO304" s="135"/>
      <c r="EP304" s="135"/>
      <c r="EQ304" s="135"/>
      <c r="ER304" s="135"/>
      <c r="ES304" s="135"/>
      <c r="ET304" s="135"/>
      <c r="EU304" s="135"/>
      <c r="EV304" s="135"/>
      <c r="EW304" s="135"/>
    </row>
    <row r="305" spans="1:153" s="141" customFormat="1" ht="15.75" customHeight="1" x14ac:dyDescent="0.5">
      <c r="B305" s="865"/>
      <c r="C305" s="135"/>
      <c r="D305" s="136"/>
      <c r="E305" s="136"/>
      <c r="F305" s="137"/>
      <c r="G305" s="138"/>
      <c r="H305" s="138"/>
      <c r="I305" s="463"/>
      <c r="J305" s="463"/>
      <c r="K305" s="139"/>
      <c r="L305" s="140"/>
      <c r="N305" s="134"/>
      <c r="O305" s="134"/>
      <c r="P305" s="134"/>
      <c r="Q305" s="134"/>
      <c r="R305" s="140"/>
      <c r="S305" s="135"/>
      <c r="T305" s="135"/>
      <c r="U305" s="135"/>
      <c r="V305" s="135"/>
      <c r="W305" s="135"/>
      <c r="X305" s="135"/>
      <c r="Y305" s="135"/>
      <c r="Z305" s="135"/>
      <c r="AA305" s="135"/>
      <c r="AB305" s="135"/>
      <c r="AC305" s="135"/>
      <c r="AD305" s="135"/>
      <c r="AE305" s="135"/>
      <c r="AF305" s="135"/>
      <c r="AG305" s="135"/>
      <c r="AH305" s="135"/>
      <c r="AI305" s="135"/>
      <c r="AJ305" s="135"/>
      <c r="AK305" s="135"/>
      <c r="AL305" s="135"/>
      <c r="AM305" s="135"/>
      <c r="AN305" s="135"/>
      <c r="AO305" s="135"/>
      <c r="AP305" s="135"/>
      <c r="AQ305" s="135"/>
      <c r="AR305" s="135"/>
      <c r="AS305" s="135"/>
      <c r="AT305" s="135"/>
      <c r="AU305" s="135"/>
      <c r="AV305" s="135"/>
      <c r="AW305" s="135"/>
      <c r="AX305" s="135"/>
      <c r="AY305" s="135"/>
      <c r="AZ305" s="135"/>
      <c r="BA305" s="135"/>
      <c r="BB305" s="135"/>
      <c r="BC305" s="135"/>
      <c r="BD305" s="135"/>
      <c r="BE305" s="135"/>
      <c r="BF305" s="135"/>
      <c r="BG305" s="135"/>
      <c r="BH305" s="135"/>
      <c r="BI305" s="135"/>
      <c r="BJ305" s="135"/>
      <c r="BK305" s="135"/>
      <c r="BL305" s="135"/>
      <c r="BM305" s="135"/>
      <c r="BN305" s="135"/>
      <c r="BO305" s="135"/>
      <c r="BP305" s="135"/>
      <c r="BQ305" s="135"/>
      <c r="BR305" s="135"/>
      <c r="BS305" s="135"/>
      <c r="BT305" s="135"/>
      <c r="BU305" s="135"/>
      <c r="BV305" s="135"/>
      <c r="BW305" s="135"/>
      <c r="BX305" s="135"/>
      <c r="BY305" s="135"/>
      <c r="BZ305" s="135"/>
      <c r="CA305" s="135"/>
      <c r="CB305" s="135"/>
      <c r="CC305" s="135"/>
      <c r="CD305" s="135"/>
      <c r="CE305" s="135"/>
      <c r="CF305" s="135"/>
      <c r="CG305" s="135"/>
      <c r="CH305" s="135"/>
      <c r="CI305" s="135"/>
      <c r="CJ305" s="135"/>
      <c r="CK305" s="135"/>
      <c r="CL305" s="135"/>
      <c r="CM305" s="135"/>
      <c r="CN305" s="135"/>
      <c r="CO305" s="135"/>
      <c r="CP305" s="135"/>
      <c r="CQ305" s="135"/>
      <c r="CR305" s="135"/>
      <c r="CS305" s="135"/>
      <c r="CT305" s="135"/>
      <c r="CU305" s="135"/>
      <c r="CV305" s="135"/>
      <c r="CW305" s="135"/>
      <c r="CX305" s="135"/>
      <c r="CY305" s="135"/>
      <c r="CZ305" s="135"/>
      <c r="DA305" s="135"/>
      <c r="DB305" s="135"/>
      <c r="DC305" s="135"/>
      <c r="DD305" s="135"/>
      <c r="DE305" s="135"/>
      <c r="DF305" s="135"/>
      <c r="DG305" s="135"/>
      <c r="DH305" s="135"/>
      <c r="DI305" s="135"/>
      <c r="DJ305" s="135"/>
      <c r="DK305" s="135"/>
      <c r="DL305" s="135"/>
      <c r="DM305" s="135"/>
      <c r="DN305" s="135"/>
      <c r="DO305" s="135"/>
      <c r="DP305" s="135"/>
      <c r="DQ305" s="135"/>
      <c r="DR305" s="135"/>
      <c r="DS305" s="135"/>
      <c r="DT305" s="135"/>
      <c r="DU305" s="135"/>
      <c r="DV305" s="135"/>
      <c r="DW305" s="135"/>
      <c r="DX305" s="135"/>
      <c r="DY305" s="135"/>
      <c r="DZ305" s="135"/>
      <c r="EA305" s="135"/>
      <c r="EB305" s="135"/>
      <c r="EC305" s="135"/>
      <c r="ED305" s="135"/>
      <c r="EE305" s="135"/>
      <c r="EF305" s="135"/>
      <c r="EG305" s="135"/>
      <c r="EH305" s="135"/>
      <c r="EI305" s="135"/>
      <c r="EJ305" s="135"/>
      <c r="EK305" s="135"/>
      <c r="EL305" s="135"/>
      <c r="EM305" s="135"/>
      <c r="EN305" s="135"/>
      <c r="EO305" s="135"/>
      <c r="EP305" s="135"/>
      <c r="EQ305" s="135"/>
      <c r="ER305" s="135"/>
      <c r="ES305" s="135"/>
      <c r="ET305" s="135"/>
      <c r="EU305" s="135"/>
      <c r="EV305" s="135"/>
      <c r="EW305" s="135"/>
    </row>
    <row r="306" spans="1:153" s="141" customFormat="1" x14ac:dyDescent="0.2">
      <c r="A306" s="141" t="s">
        <v>1338</v>
      </c>
      <c r="B306" s="134" t="s">
        <v>1339</v>
      </c>
      <c r="C306" s="135" t="s">
        <v>1340</v>
      </c>
      <c r="D306" s="136">
        <v>58.244</v>
      </c>
      <c r="E306" s="136">
        <v>22.219000000000001</v>
      </c>
      <c r="F306" s="137">
        <f t="shared" ref="F306:F311" si="19">(G306+H306)/2</f>
        <v>2739.5</v>
      </c>
      <c r="G306" s="138">
        <v>2941</v>
      </c>
      <c r="H306" s="138">
        <v>2538</v>
      </c>
      <c r="I306" s="869" t="s">
        <v>468</v>
      </c>
      <c r="J306" s="463" t="s">
        <v>468</v>
      </c>
      <c r="K306" s="139" t="s">
        <v>1341</v>
      </c>
      <c r="L306" s="140" t="s">
        <v>468</v>
      </c>
      <c r="M306" s="141" t="s">
        <v>1342</v>
      </c>
      <c r="N306" s="134" t="s">
        <v>69</v>
      </c>
      <c r="O306" s="134" t="s">
        <v>69</v>
      </c>
      <c r="P306" s="134" t="s">
        <v>69</v>
      </c>
      <c r="Q306" s="134" t="s">
        <v>69</v>
      </c>
      <c r="R306" s="140"/>
      <c r="S306" s="135"/>
      <c r="T306" s="135"/>
      <c r="V306" s="149"/>
      <c r="Y306" s="134"/>
      <c r="Z306" s="134"/>
    </row>
    <row r="307" spans="1:153" s="141" customFormat="1" x14ac:dyDescent="0.2">
      <c r="A307" s="141" t="s">
        <v>1338</v>
      </c>
      <c r="B307" s="134" t="s">
        <v>1343</v>
      </c>
      <c r="C307" s="135" t="s">
        <v>1340</v>
      </c>
      <c r="D307" s="136">
        <v>59.436</v>
      </c>
      <c r="E307" s="136">
        <v>28.091999999999999</v>
      </c>
      <c r="F307" s="137">
        <f t="shared" si="19"/>
        <v>2900</v>
      </c>
      <c r="G307" s="138">
        <v>3950</v>
      </c>
      <c r="H307" s="138">
        <v>1850</v>
      </c>
      <c r="I307" s="463" t="s">
        <v>1344</v>
      </c>
      <c r="J307" s="463" t="s">
        <v>1345</v>
      </c>
      <c r="K307" s="139" t="s">
        <v>1341</v>
      </c>
      <c r="L307" s="140" t="s">
        <v>14</v>
      </c>
      <c r="M307" s="141" t="s">
        <v>1346</v>
      </c>
      <c r="N307" s="134" t="s">
        <v>69</v>
      </c>
      <c r="O307" s="134" t="s">
        <v>69</v>
      </c>
      <c r="P307" s="134" t="s">
        <v>69</v>
      </c>
      <c r="Q307" s="134" t="s">
        <v>69</v>
      </c>
      <c r="R307" s="140"/>
      <c r="S307" s="135"/>
      <c r="T307" s="135"/>
      <c r="V307" s="149"/>
      <c r="Y307" s="134"/>
      <c r="Z307" s="134"/>
    </row>
    <row r="308" spans="1:153" s="141" customFormat="1" x14ac:dyDescent="0.2">
      <c r="A308" s="141" t="s">
        <v>1338</v>
      </c>
      <c r="B308" s="134" t="s">
        <v>1343</v>
      </c>
      <c r="C308" s="135" t="s">
        <v>1340</v>
      </c>
      <c r="D308" s="136">
        <v>59.436</v>
      </c>
      <c r="E308" s="136">
        <v>28.091999999999999</v>
      </c>
      <c r="F308" s="137">
        <f t="shared" si="19"/>
        <v>3628.5</v>
      </c>
      <c r="G308" s="138">
        <v>3831</v>
      </c>
      <c r="H308" s="138">
        <v>3426</v>
      </c>
      <c r="I308" s="463" t="s">
        <v>1347</v>
      </c>
      <c r="J308" s="463" t="s">
        <v>1348</v>
      </c>
      <c r="K308" s="139" t="s">
        <v>1341</v>
      </c>
      <c r="L308" s="140" t="s">
        <v>2</v>
      </c>
      <c r="M308" s="141" t="s">
        <v>1349</v>
      </c>
      <c r="N308" s="134" t="s">
        <v>69</v>
      </c>
      <c r="O308" s="134" t="s">
        <v>69</v>
      </c>
      <c r="P308" s="134" t="s">
        <v>69</v>
      </c>
      <c r="Q308" s="134" t="s">
        <v>69</v>
      </c>
      <c r="R308" s="140"/>
      <c r="S308" s="135"/>
      <c r="T308" s="135"/>
      <c r="V308" s="149"/>
      <c r="Y308" s="134"/>
      <c r="Z308" s="134"/>
    </row>
    <row r="309" spans="1:153" s="141" customFormat="1" x14ac:dyDescent="0.2">
      <c r="A309" s="141" t="s">
        <v>1338</v>
      </c>
      <c r="B309" s="134" t="s">
        <v>1350</v>
      </c>
      <c r="C309" s="135" t="s">
        <v>1340</v>
      </c>
      <c r="D309" s="136">
        <v>58.469000000000001</v>
      </c>
      <c r="E309" s="136">
        <v>26.119</v>
      </c>
      <c r="F309" s="137">
        <f t="shared" si="19"/>
        <v>4348.5</v>
      </c>
      <c r="G309" s="138">
        <v>4411</v>
      </c>
      <c r="H309" s="138">
        <v>4286</v>
      </c>
      <c r="I309" s="463" t="s">
        <v>952</v>
      </c>
      <c r="J309" s="463" t="s">
        <v>468</v>
      </c>
      <c r="K309" s="139" t="s">
        <v>1351</v>
      </c>
      <c r="L309" s="140" t="s">
        <v>14</v>
      </c>
      <c r="M309" s="141" t="s">
        <v>1352</v>
      </c>
      <c r="N309" s="134" t="s">
        <v>69</v>
      </c>
      <c r="O309" s="134" t="s">
        <v>69</v>
      </c>
      <c r="P309" s="134" t="s">
        <v>69</v>
      </c>
      <c r="Q309" s="134" t="s">
        <v>69</v>
      </c>
      <c r="R309" s="140"/>
      <c r="S309" s="135"/>
      <c r="T309" s="135"/>
      <c r="V309" s="149"/>
      <c r="Y309" s="134"/>
      <c r="Z309" s="134"/>
    </row>
    <row r="310" spans="1:153" s="141" customFormat="1" x14ac:dyDescent="0.2">
      <c r="A310" s="141" t="s">
        <v>1338</v>
      </c>
      <c r="B310" s="134" t="s">
        <v>1343</v>
      </c>
      <c r="C310" s="135" t="s">
        <v>1340</v>
      </c>
      <c r="D310" s="136">
        <v>59.436</v>
      </c>
      <c r="E310" s="136">
        <v>28.091999999999999</v>
      </c>
      <c r="F310" s="137">
        <f t="shared" si="19"/>
        <v>3628.5</v>
      </c>
      <c r="G310" s="138">
        <v>3831</v>
      </c>
      <c r="H310" s="138">
        <v>3426</v>
      </c>
      <c r="I310" s="463" t="s">
        <v>1353</v>
      </c>
      <c r="J310" s="463" t="s">
        <v>1348</v>
      </c>
      <c r="K310" s="139" t="s">
        <v>1341</v>
      </c>
      <c r="L310" s="140" t="s">
        <v>2</v>
      </c>
      <c r="M310" s="141" t="s">
        <v>1354</v>
      </c>
      <c r="N310" s="134" t="s">
        <v>69</v>
      </c>
      <c r="O310" s="134" t="s">
        <v>69</v>
      </c>
      <c r="P310" s="134" t="s">
        <v>69</v>
      </c>
      <c r="Q310" s="134" t="s">
        <v>69</v>
      </c>
      <c r="R310" s="140"/>
      <c r="S310" s="135"/>
      <c r="T310" s="135"/>
      <c r="V310" s="149"/>
      <c r="Y310" s="134"/>
      <c r="Z310" s="134"/>
    </row>
    <row r="311" spans="1:153" s="141" customFormat="1" x14ac:dyDescent="0.2">
      <c r="A311" s="141" t="s">
        <v>1338</v>
      </c>
      <c r="B311" s="134" t="s">
        <v>1343</v>
      </c>
      <c r="C311" s="135" t="s">
        <v>1340</v>
      </c>
      <c r="D311" s="136">
        <v>59.436</v>
      </c>
      <c r="E311" s="136">
        <v>28.091999999999999</v>
      </c>
      <c r="F311" s="137">
        <f t="shared" si="19"/>
        <v>3628.5</v>
      </c>
      <c r="G311" s="138">
        <v>3831</v>
      </c>
      <c r="H311" s="138">
        <v>3426</v>
      </c>
      <c r="I311" s="463" t="s">
        <v>1353</v>
      </c>
      <c r="J311" s="463" t="s">
        <v>1348</v>
      </c>
      <c r="K311" s="139" t="s">
        <v>1341</v>
      </c>
      <c r="L311" s="140" t="s">
        <v>2</v>
      </c>
      <c r="M311" s="141" t="s">
        <v>1355</v>
      </c>
      <c r="N311" s="134" t="s">
        <v>69</v>
      </c>
      <c r="O311" s="134" t="s">
        <v>69</v>
      </c>
      <c r="P311" s="134" t="s">
        <v>69</v>
      </c>
      <c r="Q311" s="134" t="s">
        <v>69</v>
      </c>
      <c r="R311" s="140"/>
      <c r="S311" s="135"/>
      <c r="T311" s="135"/>
      <c r="V311" s="149"/>
      <c r="Y311" s="134"/>
      <c r="Z311" s="134"/>
    </row>
    <row r="312" spans="1:153" s="141" customFormat="1" x14ac:dyDescent="0.2">
      <c r="A312" s="141" t="s">
        <v>4290</v>
      </c>
      <c r="B312" s="134" t="s">
        <v>1403</v>
      </c>
      <c r="C312" s="135" t="s">
        <v>1272</v>
      </c>
      <c r="D312" s="136">
        <v>42.24</v>
      </c>
      <c r="E312" s="136">
        <v>42.92</v>
      </c>
      <c r="F312" s="137">
        <f>(G312+H312)/2</f>
        <v>13255</v>
      </c>
      <c r="G312" s="138">
        <v>13380</v>
      </c>
      <c r="H312" s="138">
        <v>13130</v>
      </c>
      <c r="I312" s="466" t="s">
        <v>4301</v>
      </c>
      <c r="J312" s="463" t="s">
        <v>1273</v>
      </c>
      <c r="K312" s="139" t="s">
        <v>1274</v>
      </c>
      <c r="L312" s="140" t="s">
        <v>14</v>
      </c>
      <c r="M312" s="134" t="s">
        <v>1271</v>
      </c>
      <c r="N312" s="134" t="s">
        <v>69</v>
      </c>
      <c r="O312" s="134" t="s">
        <v>69</v>
      </c>
      <c r="P312" s="134" t="s">
        <v>69</v>
      </c>
      <c r="Q312" s="134" t="s">
        <v>69</v>
      </c>
      <c r="R312" s="478" t="s">
        <v>4302</v>
      </c>
      <c r="T312" s="153"/>
      <c r="U312" s="152"/>
      <c r="V312" s="155"/>
      <c r="W312" s="152"/>
      <c r="X312" s="152"/>
      <c r="Y312" s="139"/>
      <c r="Z312" s="139"/>
      <c r="AA312" s="152"/>
      <c r="AB312" s="152"/>
    </row>
    <row r="313" spans="1:153" s="141" customFormat="1" x14ac:dyDescent="0.2">
      <c r="A313" s="141" t="s">
        <v>1397</v>
      </c>
      <c r="B313" s="134" t="s">
        <v>1398</v>
      </c>
      <c r="C313" s="135" t="s">
        <v>1272</v>
      </c>
      <c r="D313" s="136">
        <v>42.28</v>
      </c>
      <c r="E313" s="136">
        <v>43.28</v>
      </c>
      <c r="F313" s="137">
        <f>(G313+H313)/2</f>
        <v>7770</v>
      </c>
      <c r="G313" s="138">
        <v>7940</v>
      </c>
      <c r="H313" s="138">
        <v>7600</v>
      </c>
      <c r="I313" s="463" t="s">
        <v>1399</v>
      </c>
      <c r="J313" s="463" t="s">
        <v>363</v>
      </c>
      <c r="K313" s="139" t="s">
        <v>1400</v>
      </c>
      <c r="L313" s="140" t="s">
        <v>14</v>
      </c>
      <c r="M313" s="141" t="s">
        <v>1401</v>
      </c>
      <c r="N313" s="134" t="s">
        <v>1400</v>
      </c>
      <c r="O313" s="134" t="s">
        <v>69</v>
      </c>
      <c r="P313" s="134" t="s">
        <v>69</v>
      </c>
      <c r="Q313" s="134" t="s">
        <v>69</v>
      </c>
      <c r="R313" s="140"/>
      <c r="S313" s="135"/>
      <c r="T313" s="135"/>
      <c r="V313" s="149"/>
      <c r="Y313" s="134"/>
      <c r="Z313" s="134"/>
    </row>
    <row r="314" spans="1:153" s="141" customFormat="1" x14ac:dyDescent="0.2">
      <c r="A314" s="141" t="s">
        <v>1402</v>
      </c>
      <c r="B314" s="134" t="s">
        <v>1403</v>
      </c>
      <c r="C314" s="135" t="s">
        <v>1272</v>
      </c>
      <c r="D314" s="136">
        <v>42.38</v>
      </c>
      <c r="E314" s="136">
        <v>42.59</v>
      </c>
      <c r="F314" s="137">
        <v>23000</v>
      </c>
      <c r="G314" s="138">
        <v>23450</v>
      </c>
      <c r="H314" s="138">
        <v>22550</v>
      </c>
      <c r="I314" s="463" t="s">
        <v>170</v>
      </c>
      <c r="J314" s="463" t="s">
        <v>69</v>
      </c>
      <c r="K314" s="139" t="s">
        <v>1308</v>
      </c>
      <c r="L314" s="140" t="s">
        <v>69</v>
      </c>
      <c r="M314" s="141" t="s">
        <v>1404</v>
      </c>
      <c r="N314" s="134"/>
      <c r="O314" s="134" t="s">
        <v>69</v>
      </c>
      <c r="P314" s="134" t="s">
        <v>69</v>
      </c>
      <c r="Q314" s="134" t="s">
        <v>69</v>
      </c>
      <c r="R314" s="140"/>
      <c r="S314" s="135"/>
      <c r="T314" s="135"/>
      <c r="V314" s="149"/>
      <c r="Y314" s="134"/>
      <c r="Z314" s="134"/>
    </row>
    <row r="315" spans="1:153" s="141" customFormat="1" x14ac:dyDescent="0.2">
      <c r="A315" s="141" t="s">
        <v>1405</v>
      </c>
      <c r="B315" s="134" t="s">
        <v>1406</v>
      </c>
      <c r="C315" s="135" t="s">
        <v>1272</v>
      </c>
      <c r="D315" s="136">
        <v>42.291052299999997</v>
      </c>
      <c r="E315" s="136">
        <v>43.286604599999997</v>
      </c>
      <c r="F315" s="137">
        <v>23540</v>
      </c>
      <c r="G315" s="138">
        <v>25040</v>
      </c>
      <c r="H315" s="138">
        <v>22040</v>
      </c>
      <c r="I315" s="463" t="s">
        <v>170</v>
      </c>
      <c r="J315" s="463" t="s">
        <v>69</v>
      </c>
      <c r="K315" s="139" t="s">
        <v>1407</v>
      </c>
      <c r="L315" s="140" t="s">
        <v>69</v>
      </c>
      <c r="M315" s="141" t="s">
        <v>1408</v>
      </c>
      <c r="N315" s="134" t="s">
        <v>1409</v>
      </c>
      <c r="O315" s="134" t="s">
        <v>69</v>
      </c>
      <c r="P315" s="134" t="s">
        <v>69</v>
      </c>
      <c r="Q315" s="134" t="s">
        <v>69</v>
      </c>
      <c r="R315" s="140"/>
      <c r="S315" s="135"/>
      <c r="T315" s="135"/>
      <c r="V315" s="149"/>
      <c r="Y315" s="134"/>
      <c r="Z315" s="134"/>
    </row>
    <row r="316" spans="1:153" s="141" customFormat="1" x14ac:dyDescent="0.2">
      <c r="A316" s="141" t="s">
        <v>1405</v>
      </c>
      <c r="B316" s="134" t="s">
        <v>1406</v>
      </c>
      <c r="C316" s="135" t="s">
        <v>1272</v>
      </c>
      <c r="D316" s="136">
        <v>42.291052299999997</v>
      </c>
      <c r="E316" s="136">
        <v>43.286604599999997</v>
      </c>
      <c r="F316" s="137">
        <v>23540</v>
      </c>
      <c r="G316" s="138">
        <v>25040</v>
      </c>
      <c r="H316" s="138">
        <v>22040</v>
      </c>
      <c r="I316" s="463" t="s">
        <v>1410</v>
      </c>
      <c r="J316" s="463" t="s">
        <v>69</v>
      </c>
      <c r="K316" s="139" t="s">
        <v>1407</v>
      </c>
      <c r="L316" s="140" t="s">
        <v>69</v>
      </c>
      <c r="M316" s="141" t="s">
        <v>1411</v>
      </c>
      <c r="N316" s="134" t="s">
        <v>1412</v>
      </c>
      <c r="O316" s="134" t="s">
        <v>69</v>
      </c>
      <c r="P316" s="134" t="s">
        <v>69</v>
      </c>
      <c r="Q316" s="134" t="s">
        <v>69</v>
      </c>
      <c r="R316" s="140"/>
      <c r="S316" s="135"/>
      <c r="T316" s="135"/>
      <c r="V316" s="149"/>
      <c r="Y316" s="134"/>
      <c r="Z316" s="134"/>
    </row>
    <row r="317" spans="1:153" s="141" customFormat="1" x14ac:dyDescent="0.2">
      <c r="A317" s="141" t="s">
        <v>1504</v>
      </c>
      <c r="B317" s="134" t="s">
        <v>1505</v>
      </c>
      <c r="C317" s="135" t="s">
        <v>1075</v>
      </c>
      <c r="D317" s="136">
        <v>52.598517000000001</v>
      </c>
      <c r="E317" s="136">
        <v>-8.3283550000000002</v>
      </c>
      <c r="F317" s="137">
        <v>4700.5</v>
      </c>
      <c r="G317" s="138">
        <v>4793</v>
      </c>
      <c r="H317" s="138">
        <v>4608</v>
      </c>
      <c r="I317" s="463" t="s">
        <v>487</v>
      </c>
      <c r="J317" s="463" t="s">
        <v>1506</v>
      </c>
      <c r="K317" s="139" t="s">
        <v>1507</v>
      </c>
      <c r="L317" s="140" t="s">
        <v>14</v>
      </c>
      <c r="M317" s="141" t="s">
        <v>1508</v>
      </c>
      <c r="N317" s="134"/>
      <c r="O317" s="134"/>
      <c r="P317" s="134"/>
      <c r="Q317" s="134"/>
      <c r="R317" s="140"/>
      <c r="S317" s="135"/>
      <c r="T317" s="135"/>
      <c r="V317" s="149"/>
      <c r="Y317" s="134"/>
      <c r="Z317" s="134"/>
    </row>
    <row r="318" spans="1:153" s="141" customFormat="1" x14ac:dyDescent="0.2">
      <c r="A318" s="141" t="s">
        <v>1570</v>
      </c>
      <c r="B318" s="134" t="s">
        <v>1571</v>
      </c>
      <c r="C318" s="135" t="s">
        <v>1572</v>
      </c>
      <c r="D318" s="136">
        <v>57.776000000000003</v>
      </c>
      <c r="E318" s="136">
        <v>25.225999999999999</v>
      </c>
      <c r="F318" s="137">
        <f t="shared" ref="F318:F333" si="20">(G318+H318)/2</f>
        <v>5738.5</v>
      </c>
      <c r="G318" s="138">
        <v>5841</v>
      </c>
      <c r="H318" s="138">
        <v>5636</v>
      </c>
      <c r="I318" s="463" t="s">
        <v>1344</v>
      </c>
      <c r="J318" s="463" t="s">
        <v>1573</v>
      </c>
      <c r="K318" s="139" t="s">
        <v>1574</v>
      </c>
      <c r="L318" s="140" t="s">
        <v>14</v>
      </c>
      <c r="M318" s="141" t="s">
        <v>1575</v>
      </c>
      <c r="N318" s="134" t="s">
        <v>69</v>
      </c>
      <c r="O318" s="134" t="s">
        <v>69</v>
      </c>
      <c r="P318" s="134" t="s">
        <v>69</v>
      </c>
      <c r="Q318" s="134" t="s">
        <v>69</v>
      </c>
      <c r="R318" s="140"/>
      <c r="S318" s="135"/>
      <c r="T318" s="135"/>
      <c r="V318" s="149"/>
      <c r="Y318" s="134"/>
      <c r="Z318" s="134"/>
    </row>
    <row r="319" spans="1:153" s="141" customFormat="1" x14ac:dyDescent="0.2">
      <c r="A319" s="141" t="s">
        <v>545</v>
      </c>
      <c r="B319" s="134" t="s">
        <v>1571</v>
      </c>
      <c r="C319" s="135" t="s">
        <v>1572</v>
      </c>
      <c r="D319" s="136">
        <v>56.283299999999997</v>
      </c>
      <c r="E319" s="136">
        <v>25.133299999999998</v>
      </c>
      <c r="F319" s="137">
        <f t="shared" si="20"/>
        <v>5687</v>
      </c>
      <c r="G319" s="138">
        <v>5728</v>
      </c>
      <c r="H319" s="138">
        <v>5646</v>
      </c>
      <c r="I319" s="463" t="s">
        <v>1344</v>
      </c>
      <c r="J319" s="463" t="s">
        <v>575</v>
      </c>
      <c r="K319" s="139" t="s">
        <v>1576</v>
      </c>
      <c r="L319" s="140" t="s">
        <v>2</v>
      </c>
      <c r="M319" s="141" t="s">
        <v>1577</v>
      </c>
      <c r="N319" s="134" t="s">
        <v>1578</v>
      </c>
      <c r="O319" s="134" t="s">
        <v>69</v>
      </c>
      <c r="P319" s="134" t="s">
        <v>69</v>
      </c>
      <c r="Q319" s="134" t="s">
        <v>69</v>
      </c>
      <c r="R319" s="140"/>
      <c r="S319" s="135"/>
      <c r="T319" s="135"/>
      <c r="V319" s="149"/>
      <c r="Y319" s="134"/>
      <c r="Z319" s="134"/>
    </row>
    <row r="320" spans="1:153" s="141" customFormat="1" x14ac:dyDescent="0.2">
      <c r="A320" s="141" t="s">
        <v>545</v>
      </c>
      <c r="B320" s="134" t="s">
        <v>1571</v>
      </c>
      <c r="C320" s="135" t="s">
        <v>1572</v>
      </c>
      <c r="D320" s="136">
        <v>56.283299999999997</v>
      </c>
      <c r="E320" s="136">
        <v>25.133299999999998</v>
      </c>
      <c r="F320" s="137">
        <f t="shared" si="20"/>
        <v>5129.5</v>
      </c>
      <c r="G320" s="138">
        <v>5220</v>
      </c>
      <c r="H320" s="138">
        <v>5039</v>
      </c>
      <c r="I320" s="463" t="s">
        <v>1579</v>
      </c>
      <c r="J320" s="463" t="s">
        <v>581</v>
      </c>
      <c r="K320" s="139" t="s">
        <v>1576</v>
      </c>
      <c r="L320" s="140" t="s">
        <v>14</v>
      </c>
      <c r="M320" s="141" t="s">
        <v>1580</v>
      </c>
      <c r="N320" s="134" t="s">
        <v>1581</v>
      </c>
      <c r="O320" s="134" t="s">
        <v>69</v>
      </c>
      <c r="P320" s="134" t="s">
        <v>69</v>
      </c>
      <c r="Q320" s="134" t="s">
        <v>69</v>
      </c>
      <c r="R320" s="140"/>
      <c r="S320" s="135"/>
      <c r="T320" s="135"/>
      <c r="V320" s="149"/>
      <c r="Y320" s="134"/>
      <c r="Z320" s="134"/>
    </row>
    <row r="321" spans="1:26" s="141" customFormat="1" x14ac:dyDescent="0.2">
      <c r="A321" s="141" t="s">
        <v>545</v>
      </c>
      <c r="B321" s="134" t="s">
        <v>1571</v>
      </c>
      <c r="C321" s="135" t="s">
        <v>1572</v>
      </c>
      <c r="D321" s="136">
        <v>56.283299999999997</v>
      </c>
      <c r="E321" s="136">
        <v>25.133299999999998</v>
      </c>
      <c r="F321" s="137">
        <f t="shared" si="20"/>
        <v>5341</v>
      </c>
      <c r="G321" s="138">
        <v>5462</v>
      </c>
      <c r="H321" s="138">
        <v>5220</v>
      </c>
      <c r="I321" s="463" t="s">
        <v>1582</v>
      </c>
      <c r="J321" s="463" t="s">
        <v>581</v>
      </c>
      <c r="K321" s="139" t="s">
        <v>1576</v>
      </c>
      <c r="L321" s="140" t="s">
        <v>14</v>
      </c>
      <c r="M321" s="141" t="s">
        <v>1583</v>
      </c>
      <c r="N321" s="134" t="s">
        <v>1584</v>
      </c>
      <c r="O321" s="134" t="s">
        <v>69</v>
      </c>
      <c r="P321" s="134" t="s">
        <v>69</v>
      </c>
      <c r="Q321" s="134" t="s">
        <v>69</v>
      </c>
      <c r="R321" s="140"/>
      <c r="S321" s="135"/>
      <c r="T321" s="135"/>
      <c r="V321" s="149"/>
      <c r="Y321" s="134"/>
      <c r="Z321" s="134"/>
    </row>
    <row r="322" spans="1:26" s="141" customFormat="1" x14ac:dyDescent="0.2">
      <c r="A322" s="141" t="s">
        <v>1570</v>
      </c>
      <c r="B322" s="134" t="s">
        <v>1571</v>
      </c>
      <c r="C322" s="135" t="s">
        <v>1572</v>
      </c>
      <c r="D322" s="136">
        <v>57.776000000000003</v>
      </c>
      <c r="E322" s="136">
        <v>25.225999999999999</v>
      </c>
      <c r="F322" s="137">
        <f t="shared" si="20"/>
        <v>6358</v>
      </c>
      <c r="G322" s="138">
        <v>6467</v>
      </c>
      <c r="H322" s="138">
        <v>6249</v>
      </c>
      <c r="I322" s="463" t="s">
        <v>617</v>
      </c>
      <c r="J322" s="463" t="s">
        <v>69</v>
      </c>
      <c r="K322" s="139" t="s">
        <v>1585</v>
      </c>
      <c r="L322" s="140" t="s">
        <v>2</v>
      </c>
      <c r="M322" s="141" t="s">
        <v>1586</v>
      </c>
      <c r="N322" s="134" t="s">
        <v>69</v>
      </c>
      <c r="O322" s="134" t="s">
        <v>69</v>
      </c>
      <c r="P322" s="134" t="s">
        <v>69</v>
      </c>
      <c r="Q322" s="134" t="s">
        <v>69</v>
      </c>
      <c r="R322" s="140"/>
      <c r="S322" s="135"/>
      <c r="T322" s="135"/>
      <c r="V322" s="149"/>
      <c r="Y322" s="134"/>
      <c r="Z322" s="134"/>
    </row>
    <row r="323" spans="1:26" s="141" customFormat="1" x14ac:dyDescent="0.2">
      <c r="A323" s="141" t="s">
        <v>545</v>
      </c>
      <c r="B323" s="134" t="s">
        <v>1571</v>
      </c>
      <c r="C323" s="135" t="s">
        <v>1572</v>
      </c>
      <c r="D323" s="136">
        <v>56.283299999999997</v>
      </c>
      <c r="E323" s="136">
        <v>25.133299999999998</v>
      </c>
      <c r="F323" s="137">
        <f t="shared" si="20"/>
        <v>4775</v>
      </c>
      <c r="G323" s="138">
        <v>4837</v>
      </c>
      <c r="H323" s="138">
        <v>4713</v>
      </c>
      <c r="I323" s="463" t="s">
        <v>617</v>
      </c>
      <c r="J323" s="463" t="s">
        <v>433</v>
      </c>
      <c r="K323" s="139" t="s">
        <v>1576</v>
      </c>
      <c r="L323" s="140" t="s">
        <v>14</v>
      </c>
      <c r="M323" s="141" t="s">
        <v>1587</v>
      </c>
      <c r="N323" s="134" t="s">
        <v>1588</v>
      </c>
      <c r="O323" s="134" t="s">
        <v>69</v>
      </c>
      <c r="P323" s="134" t="s">
        <v>69</v>
      </c>
      <c r="Q323" s="134" t="s">
        <v>69</v>
      </c>
      <c r="R323" s="140"/>
      <c r="S323" s="135"/>
      <c r="T323" s="135"/>
      <c r="V323" s="149"/>
      <c r="Y323" s="134"/>
      <c r="Z323" s="134"/>
    </row>
    <row r="324" spans="1:26" s="141" customFormat="1" x14ac:dyDescent="0.2">
      <c r="A324" s="141" t="s">
        <v>545</v>
      </c>
      <c r="B324" s="134" t="s">
        <v>1571</v>
      </c>
      <c r="C324" s="135" t="s">
        <v>1572</v>
      </c>
      <c r="D324" s="136">
        <v>56.283299999999997</v>
      </c>
      <c r="E324" s="136">
        <v>25.133299999999998</v>
      </c>
      <c r="F324" s="137">
        <f t="shared" si="20"/>
        <v>5428.5</v>
      </c>
      <c r="G324" s="138">
        <v>5482</v>
      </c>
      <c r="H324" s="138">
        <v>5375</v>
      </c>
      <c r="I324" s="463" t="s">
        <v>617</v>
      </c>
      <c r="J324" s="463" t="s">
        <v>445</v>
      </c>
      <c r="K324" s="139" t="s">
        <v>1576</v>
      </c>
      <c r="L324" s="140" t="s">
        <v>14</v>
      </c>
      <c r="M324" s="141" t="s">
        <v>1589</v>
      </c>
      <c r="N324" s="134" t="s">
        <v>1590</v>
      </c>
      <c r="O324" s="134" t="s">
        <v>69</v>
      </c>
      <c r="P324" s="134" t="s">
        <v>69</v>
      </c>
      <c r="Q324" s="134" t="s">
        <v>69</v>
      </c>
      <c r="R324" s="140"/>
      <c r="S324" s="135"/>
      <c r="T324" s="135"/>
      <c r="V324" s="149"/>
      <c r="Y324" s="134"/>
      <c r="Z324" s="134"/>
    </row>
    <row r="325" spans="1:26" s="141" customFormat="1" x14ac:dyDescent="0.2">
      <c r="A325" s="141" t="s">
        <v>545</v>
      </c>
      <c r="B325" s="134" t="s">
        <v>1571</v>
      </c>
      <c r="C325" s="135" t="s">
        <v>1572</v>
      </c>
      <c r="D325" s="136">
        <v>56.283299999999997</v>
      </c>
      <c r="E325" s="136">
        <v>25.133299999999998</v>
      </c>
      <c r="F325" s="137">
        <f t="shared" si="20"/>
        <v>5426.5</v>
      </c>
      <c r="G325" s="138">
        <v>5479</v>
      </c>
      <c r="H325" s="138">
        <v>5374</v>
      </c>
      <c r="I325" s="463" t="s">
        <v>1591</v>
      </c>
      <c r="J325" s="463" t="s">
        <v>575</v>
      </c>
      <c r="K325" s="139" t="s">
        <v>1576</v>
      </c>
      <c r="L325" s="140" t="s">
        <v>2</v>
      </c>
      <c r="M325" s="141" t="s">
        <v>1592</v>
      </c>
      <c r="N325" s="134" t="s">
        <v>1593</v>
      </c>
      <c r="O325" s="134" t="s">
        <v>69</v>
      </c>
      <c r="P325" s="134" t="s">
        <v>69</v>
      </c>
      <c r="Q325" s="134" t="s">
        <v>69</v>
      </c>
      <c r="R325" s="140"/>
      <c r="S325" s="135"/>
      <c r="T325" s="135"/>
      <c r="V325" s="149"/>
      <c r="Y325" s="134"/>
      <c r="Z325" s="134"/>
    </row>
    <row r="326" spans="1:26" s="141" customFormat="1" x14ac:dyDescent="0.2">
      <c r="A326" s="141" t="s">
        <v>545</v>
      </c>
      <c r="B326" s="134" t="s">
        <v>1571</v>
      </c>
      <c r="C326" s="135" t="s">
        <v>1572</v>
      </c>
      <c r="D326" s="136">
        <v>56.283299999999997</v>
      </c>
      <c r="E326" s="136">
        <v>25.133299999999998</v>
      </c>
      <c r="F326" s="137">
        <f t="shared" si="20"/>
        <v>5997.5</v>
      </c>
      <c r="G326" s="138">
        <v>6075</v>
      </c>
      <c r="H326" s="138">
        <v>5920</v>
      </c>
      <c r="I326" s="463" t="s">
        <v>991</v>
      </c>
      <c r="J326" s="463" t="s">
        <v>1594</v>
      </c>
      <c r="K326" s="139" t="s">
        <v>1576</v>
      </c>
      <c r="L326" s="140" t="s">
        <v>14</v>
      </c>
      <c r="M326" s="141" t="s">
        <v>1595</v>
      </c>
      <c r="N326" s="134" t="s">
        <v>1596</v>
      </c>
      <c r="O326" s="134" t="s">
        <v>69</v>
      </c>
      <c r="P326" s="134" t="s">
        <v>69</v>
      </c>
      <c r="Q326" s="134" t="s">
        <v>69</v>
      </c>
      <c r="R326" s="140"/>
      <c r="S326" s="135"/>
      <c r="T326" s="135"/>
      <c r="V326" s="149"/>
      <c r="Y326" s="134"/>
      <c r="Z326" s="134"/>
    </row>
    <row r="327" spans="1:26" s="141" customFormat="1" x14ac:dyDescent="0.2">
      <c r="A327" s="141" t="s">
        <v>545</v>
      </c>
      <c r="B327" s="134" t="s">
        <v>1571</v>
      </c>
      <c r="C327" s="135" t="s">
        <v>1572</v>
      </c>
      <c r="D327" s="136">
        <v>56.283299999999997</v>
      </c>
      <c r="E327" s="136">
        <v>25.133299999999998</v>
      </c>
      <c r="F327" s="137">
        <f t="shared" si="20"/>
        <v>7271.5</v>
      </c>
      <c r="G327" s="138">
        <v>7465</v>
      </c>
      <c r="H327" s="138">
        <v>7078</v>
      </c>
      <c r="I327" s="463" t="s">
        <v>991</v>
      </c>
      <c r="J327" s="463" t="s">
        <v>1594</v>
      </c>
      <c r="K327" s="139" t="s">
        <v>1576</v>
      </c>
      <c r="L327" s="140" t="s">
        <v>14</v>
      </c>
      <c r="M327" s="141" t="s">
        <v>1597</v>
      </c>
      <c r="N327" s="134" t="s">
        <v>1598</v>
      </c>
      <c r="O327" s="134" t="s">
        <v>69</v>
      </c>
      <c r="P327" s="134" t="s">
        <v>69</v>
      </c>
      <c r="Q327" s="134" t="s">
        <v>69</v>
      </c>
      <c r="R327" s="140"/>
      <c r="S327" s="135"/>
      <c r="T327" s="135"/>
      <c r="V327" s="149"/>
      <c r="Y327" s="134"/>
      <c r="Z327" s="134"/>
    </row>
    <row r="328" spans="1:26" s="141" customFormat="1" x14ac:dyDescent="0.2">
      <c r="A328" s="141" t="s">
        <v>545</v>
      </c>
      <c r="B328" s="134" t="s">
        <v>1571</v>
      </c>
      <c r="C328" s="135" t="s">
        <v>1572</v>
      </c>
      <c r="D328" s="136">
        <v>56.283299999999997</v>
      </c>
      <c r="E328" s="136">
        <v>25.133299999999998</v>
      </c>
      <c r="F328" s="137">
        <f t="shared" si="20"/>
        <v>5720.5</v>
      </c>
      <c r="G328" s="138">
        <v>5775</v>
      </c>
      <c r="H328" s="138">
        <v>5666</v>
      </c>
      <c r="I328" s="463" t="s">
        <v>1050</v>
      </c>
      <c r="J328" s="463" t="s">
        <v>445</v>
      </c>
      <c r="K328" s="139" t="s">
        <v>1576</v>
      </c>
      <c r="L328" s="140" t="s">
        <v>14</v>
      </c>
      <c r="M328" s="141" t="s">
        <v>1599</v>
      </c>
      <c r="N328" s="134" t="s">
        <v>1600</v>
      </c>
      <c r="O328" s="134" t="s">
        <v>69</v>
      </c>
      <c r="P328" s="134" t="s">
        <v>69</v>
      </c>
      <c r="Q328" s="134" t="s">
        <v>69</v>
      </c>
      <c r="R328" s="140"/>
      <c r="S328" s="135"/>
      <c r="T328" s="135"/>
      <c r="V328" s="149"/>
      <c r="Y328" s="134"/>
      <c r="Z328" s="134"/>
    </row>
    <row r="329" spans="1:26" s="141" customFormat="1" x14ac:dyDescent="0.2">
      <c r="A329" s="141" t="s">
        <v>1570</v>
      </c>
      <c r="B329" s="134" t="s">
        <v>1571</v>
      </c>
      <c r="C329" s="135" t="s">
        <v>1572</v>
      </c>
      <c r="D329" s="136">
        <v>57.776000000000003</v>
      </c>
      <c r="E329" s="136">
        <v>25.225999999999999</v>
      </c>
      <c r="F329" s="137">
        <f t="shared" si="20"/>
        <v>5077</v>
      </c>
      <c r="G329" s="138">
        <v>5302</v>
      </c>
      <c r="H329" s="138">
        <v>4852</v>
      </c>
      <c r="I329" s="463" t="s">
        <v>952</v>
      </c>
      <c r="J329" s="463" t="s">
        <v>1573</v>
      </c>
      <c r="K329" s="139" t="s">
        <v>1363</v>
      </c>
      <c r="L329" s="140" t="s">
        <v>14</v>
      </c>
      <c r="M329" s="141" t="s">
        <v>1601</v>
      </c>
      <c r="N329" s="134" t="s">
        <v>69</v>
      </c>
      <c r="O329" s="134" t="s">
        <v>69</v>
      </c>
      <c r="P329" s="134" t="s">
        <v>69</v>
      </c>
      <c r="Q329" s="134" t="s">
        <v>69</v>
      </c>
      <c r="R329" s="140"/>
      <c r="S329" s="135"/>
      <c r="T329" s="135"/>
      <c r="V329" s="149"/>
      <c r="Y329" s="134"/>
      <c r="Z329" s="134"/>
    </row>
    <row r="330" spans="1:26" s="141" customFormat="1" x14ac:dyDescent="0.2">
      <c r="A330" s="141" t="s">
        <v>545</v>
      </c>
      <c r="B330" s="134" t="s">
        <v>1571</v>
      </c>
      <c r="C330" s="135" t="s">
        <v>1572</v>
      </c>
      <c r="D330" s="136">
        <v>56.283299999999997</v>
      </c>
      <c r="E330" s="136">
        <v>25.133299999999998</v>
      </c>
      <c r="F330" s="137">
        <f t="shared" si="20"/>
        <v>5495.5</v>
      </c>
      <c r="G330" s="138">
        <v>5606</v>
      </c>
      <c r="H330" s="138">
        <v>5385</v>
      </c>
      <c r="I330" s="463" t="s">
        <v>952</v>
      </c>
      <c r="J330" s="463" t="s">
        <v>1594</v>
      </c>
      <c r="K330" s="139" t="s">
        <v>1576</v>
      </c>
      <c r="L330" s="140" t="s">
        <v>14</v>
      </c>
      <c r="M330" s="141" t="s">
        <v>1602</v>
      </c>
      <c r="N330" s="134" t="s">
        <v>1603</v>
      </c>
      <c r="O330" s="134" t="s">
        <v>69</v>
      </c>
      <c r="P330" s="134" t="s">
        <v>69</v>
      </c>
      <c r="Q330" s="134" t="s">
        <v>69</v>
      </c>
      <c r="R330" s="140"/>
      <c r="S330" s="135"/>
      <c r="T330" s="135"/>
      <c r="V330" s="149"/>
      <c r="Y330" s="134"/>
      <c r="Z330" s="134"/>
    </row>
    <row r="331" spans="1:26" s="141" customFormat="1" x14ac:dyDescent="0.2">
      <c r="A331" s="141" t="s">
        <v>545</v>
      </c>
      <c r="B331" s="134" t="s">
        <v>1571</v>
      </c>
      <c r="C331" s="135" t="s">
        <v>1572</v>
      </c>
      <c r="D331" s="136">
        <v>56.283299999999997</v>
      </c>
      <c r="E331" s="136">
        <v>25.133299999999998</v>
      </c>
      <c r="F331" s="137">
        <f t="shared" si="20"/>
        <v>6025.5</v>
      </c>
      <c r="G331" s="138">
        <v>6061</v>
      </c>
      <c r="H331" s="138">
        <v>5990</v>
      </c>
      <c r="I331" s="463" t="s">
        <v>952</v>
      </c>
      <c r="J331" s="463" t="s">
        <v>433</v>
      </c>
      <c r="K331" s="139" t="s">
        <v>1576</v>
      </c>
      <c r="L331" s="140" t="s">
        <v>14</v>
      </c>
      <c r="M331" s="141" t="s">
        <v>1604</v>
      </c>
      <c r="N331" s="134" t="s">
        <v>1605</v>
      </c>
      <c r="O331" s="134" t="s">
        <v>69</v>
      </c>
      <c r="P331" s="134" t="s">
        <v>69</v>
      </c>
      <c r="Q331" s="134" t="s">
        <v>69</v>
      </c>
      <c r="R331" s="140"/>
      <c r="S331" s="135"/>
      <c r="T331" s="135"/>
      <c r="V331" s="149"/>
      <c r="Y331" s="134"/>
      <c r="Z331" s="134"/>
    </row>
    <row r="332" spans="1:26" s="141" customFormat="1" x14ac:dyDescent="0.2">
      <c r="A332" s="141" t="s">
        <v>545</v>
      </c>
      <c r="B332" s="134" t="s">
        <v>1571</v>
      </c>
      <c r="C332" s="135" t="s">
        <v>1572</v>
      </c>
      <c r="D332" s="136">
        <v>56.283299999999997</v>
      </c>
      <c r="E332" s="136">
        <v>25.133299999999998</v>
      </c>
      <c r="F332" s="137">
        <f t="shared" si="20"/>
        <v>5698</v>
      </c>
      <c r="G332" s="138">
        <v>5763</v>
      </c>
      <c r="H332" s="138">
        <v>5633</v>
      </c>
      <c r="I332" s="463" t="s">
        <v>1353</v>
      </c>
      <c r="J332" s="463" t="s">
        <v>1594</v>
      </c>
      <c r="K332" s="139" t="s">
        <v>1576</v>
      </c>
      <c r="L332" s="140" t="s">
        <v>14</v>
      </c>
      <c r="M332" s="141" t="s">
        <v>1606</v>
      </c>
      <c r="N332" s="134" t="s">
        <v>1607</v>
      </c>
      <c r="O332" s="134" t="s">
        <v>69</v>
      </c>
      <c r="P332" s="134" t="s">
        <v>69</v>
      </c>
      <c r="Q332" s="134" t="s">
        <v>69</v>
      </c>
      <c r="R332" s="140"/>
      <c r="S332" s="135"/>
      <c r="T332" s="135"/>
      <c r="V332" s="149"/>
      <c r="Y332" s="134"/>
      <c r="Z332" s="134"/>
    </row>
    <row r="333" spans="1:26" s="141" customFormat="1" x14ac:dyDescent="0.2">
      <c r="A333" s="141" t="s">
        <v>545</v>
      </c>
      <c r="B333" s="134" t="s">
        <v>1571</v>
      </c>
      <c r="C333" s="135" t="s">
        <v>1572</v>
      </c>
      <c r="D333" s="136">
        <v>56.283299999999997</v>
      </c>
      <c r="E333" s="136">
        <v>25.133299999999998</v>
      </c>
      <c r="F333" s="137">
        <f t="shared" si="20"/>
        <v>6538.5</v>
      </c>
      <c r="G333" s="138">
        <v>6601</v>
      </c>
      <c r="H333" s="138">
        <v>6476</v>
      </c>
      <c r="I333" s="463" t="s">
        <v>1608</v>
      </c>
      <c r="J333" s="463" t="s">
        <v>1609</v>
      </c>
      <c r="K333" s="139" t="s">
        <v>1576</v>
      </c>
      <c r="L333" s="140" t="s">
        <v>14</v>
      </c>
      <c r="M333" s="141" t="s">
        <v>1610</v>
      </c>
      <c r="N333" s="134" t="s">
        <v>1611</v>
      </c>
      <c r="O333" s="134" t="s">
        <v>69</v>
      </c>
      <c r="P333" s="134" t="s">
        <v>69</v>
      </c>
      <c r="Q333" s="134" t="s">
        <v>69</v>
      </c>
      <c r="R333" s="140"/>
      <c r="S333" s="135"/>
      <c r="T333" s="135"/>
      <c r="V333" s="149"/>
      <c r="Y333" s="134"/>
      <c r="Z333" s="134"/>
    </row>
    <row r="334" spans="1:26" s="141" customFormat="1" x14ac:dyDescent="0.2">
      <c r="A334" s="141" t="s">
        <v>2312</v>
      </c>
      <c r="B334" s="134" t="s">
        <v>1571</v>
      </c>
      <c r="C334" s="135" t="s">
        <v>1572</v>
      </c>
      <c r="D334" s="136">
        <v>56.283299999999997</v>
      </c>
      <c r="E334" s="136">
        <v>25.133299999999998</v>
      </c>
      <c r="F334" s="137">
        <v>5383</v>
      </c>
      <c r="G334" s="138">
        <f>F334+68</f>
        <v>5451</v>
      </c>
      <c r="H334" s="138">
        <f>F334-68</f>
        <v>5315</v>
      </c>
      <c r="I334" s="463" t="s">
        <v>952</v>
      </c>
      <c r="J334" s="463" t="s">
        <v>69</v>
      </c>
      <c r="K334" s="139" t="s">
        <v>1576</v>
      </c>
      <c r="L334" s="140" t="s">
        <v>14</v>
      </c>
      <c r="M334" s="134" t="s">
        <v>2347</v>
      </c>
      <c r="N334" s="134"/>
      <c r="O334" s="134"/>
      <c r="P334" s="134"/>
      <c r="Q334" s="134"/>
      <c r="R334" s="140"/>
      <c r="S334" s="135"/>
      <c r="T334" s="135"/>
      <c r="V334" s="149"/>
      <c r="Y334" s="134"/>
      <c r="Z334" s="134"/>
    </row>
    <row r="335" spans="1:26" s="141" customFormat="1" x14ac:dyDescent="0.2">
      <c r="A335" s="141" t="s">
        <v>2312</v>
      </c>
      <c r="B335" s="134" t="s">
        <v>1571</v>
      </c>
      <c r="C335" s="135" t="s">
        <v>1572</v>
      </c>
      <c r="D335" s="136">
        <v>56.283299999999997</v>
      </c>
      <c r="E335" s="136">
        <v>25.133299999999998</v>
      </c>
      <c r="F335" s="137">
        <v>4470</v>
      </c>
      <c r="G335" s="138">
        <f>F335+72</f>
        <v>4542</v>
      </c>
      <c r="H335" s="138">
        <f>F335-72</f>
        <v>4398</v>
      </c>
      <c r="I335" s="463" t="s">
        <v>1579</v>
      </c>
      <c r="J335" s="463" t="s">
        <v>69</v>
      </c>
      <c r="K335" s="139" t="s">
        <v>1576</v>
      </c>
      <c r="L335" s="140" t="s">
        <v>14</v>
      </c>
      <c r="M335" s="134" t="s">
        <v>2348</v>
      </c>
      <c r="N335" s="134"/>
      <c r="O335" s="134"/>
      <c r="P335" s="134"/>
      <c r="Q335" s="134"/>
      <c r="R335" s="134" t="s">
        <v>2352</v>
      </c>
      <c r="S335" s="135"/>
      <c r="T335" s="135"/>
      <c r="V335" s="149"/>
      <c r="Y335" s="134"/>
      <c r="Z335" s="134"/>
    </row>
    <row r="336" spans="1:26" s="141" customFormat="1" x14ac:dyDescent="0.2">
      <c r="A336" s="141" t="s">
        <v>2312</v>
      </c>
      <c r="B336" s="134" t="s">
        <v>1571</v>
      </c>
      <c r="C336" s="135" t="s">
        <v>1572</v>
      </c>
      <c r="D336" s="136">
        <v>56.283299999999997</v>
      </c>
      <c r="E336" s="136">
        <v>25.133299999999998</v>
      </c>
      <c r="F336" s="137">
        <v>7182</v>
      </c>
      <c r="G336" s="138">
        <f>F336+107</f>
        <v>7289</v>
      </c>
      <c r="H336" s="138">
        <f>F336-107</f>
        <v>7075</v>
      </c>
      <c r="I336" s="463" t="s">
        <v>952</v>
      </c>
      <c r="J336" s="463" t="s">
        <v>69</v>
      </c>
      <c r="K336" s="139" t="s">
        <v>1576</v>
      </c>
      <c r="L336" s="140" t="s">
        <v>14</v>
      </c>
      <c r="M336" s="134" t="s">
        <v>2349</v>
      </c>
      <c r="N336" s="134"/>
      <c r="O336" s="134"/>
      <c r="P336" s="134"/>
      <c r="Q336" s="134"/>
      <c r="R336" s="140"/>
      <c r="S336" s="135"/>
      <c r="T336" s="135"/>
      <c r="V336" s="149"/>
      <c r="Y336" s="134"/>
      <c r="Z336" s="134"/>
    </row>
    <row r="337" spans="1:26" s="141" customFormat="1" x14ac:dyDescent="0.2">
      <c r="A337" s="141" t="s">
        <v>2312</v>
      </c>
      <c r="B337" s="134" t="s">
        <v>1571</v>
      </c>
      <c r="C337" s="135" t="s">
        <v>1572</v>
      </c>
      <c r="D337" s="136">
        <v>56.283299999999997</v>
      </c>
      <c r="E337" s="136">
        <v>25.133299999999998</v>
      </c>
      <c r="F337" s="137">
        <v>5681</v>
      </c>
      <c r="G337" s="138">
        <f>F337+36</f>
        <v>5717</v>
      </c>
      <c r="H337" s="138">
        <f>F337-36</f>
        <v>5645</v>
      </c>
      <c r="I337" s="463" t="s">
        <v>991</v>
      </c>
      <c r="J337" s="463" t="s">
        <v>69</v>
      </c>
      <c r="K337" s="139" t="s">
        <v>1576</v>
      </c>
      <c r="L337" s="140" t="s">
        <v>14</v>
      </c>
      <c r="M337" s="134" t="s">
        <v>2350</v>
      </c>
      <c r="N337" s="134"/>
      <c r="O337" s="134"/>
      <c r="P337" s="134"/>
      <c r="Q337" s="134"/>
      <c r="R337" s="140"/>
      <c r="S337" s="135"/>
      <c r="T337" s="135"/>
      <c r="V337" s="149"/>
      <c r="Y337" s="134"/>
      <c r="Z337" s="134"/>
    </row>
    <row r="338" spans="1:26" s="141" customFormat="1" x14ac:dyDescent="0.2">
      <c r="A338" s="141" t="s">
        <v>2312</v>
      </c>
      <c r="B338" s="134" t="s">
        <v>1571</v>
      </c>
      <c r="C338" s="135" t="s">
        <v>1572</v>
      </c>
      <c r="D338" s="136">
        <v>56.283299999999997</v>
      </c>
      <c r="E338" s="136">
        <v>25.133299999999998</v>
      </c>
      <c r="F338" s="137">
        <v>5802</v>
      </c>
      <c r="G338" s="138">
        <f>F338+73</f>
        <v>5875</v>
      </c>
      <c r="H338" s="138">
        <f>F338-73</f>
        <v>5729</v>
      </c>
      <c r="I338" s="463" t="s">
        <v>622</v>
      </c>
      <c r="J338" s="463" t="s">
        <v>69</v>
      </c>
      <c r="K338" s="139" t="s">
        <v>1576</v>
      </c>
      <c r="L338" s="140" t="s">
        <v>2</v>
      </c>
      <c r="M338" s="134" t="s">
        <v>2351</v>
      </c>
      <c r="N338" s="134"/>
      <c r="O338" s="134"/>
      <c r="P338" s="134"/>
      <c r="Q338" s="134"/>
      <c r="R338" s="140"/>
      <c r="S338" s="135"/>
      <c r="T338" s="135"/>
      <c r="V338" s="149"/>
      <c r="Y338" s="134"/>
      <c r="Z338" s="134"/>
    </row>
    <row r="339" spans="1:26" s="141" customFormat="1" x14ac:dyDescent="0.2">
      <c r="A339" s="141" t="s">
        <v>2312</v>
      </c>
      <c r="B339" s="134" t="s">
        <v>1571</v>
      </c>
      <c r="C339" s="135" t="s">
        <v>1572</v>
      </c>
      <c r="D339" s="136">
        <v>56.283299999999997</v>
      </c>
      <c r="E339" s="136">
        <v>25.133299999999998</v>
      </c>
      <c r="F339" s="137">
        <v>3890</v>
      </c>
      <c r="G339" s="138">
        <f>F339+67</f>
        <v>3957</v>
      </c>
      <c r="H339" s="138">
        <f>F339-67</f>
        <v>3823</v>
      </c>
      <c r="I339" s="463" t="s">
        <v>1579</v>
      </c>
      <c r="J339" s="463" t="s">
        <v>69</v>
      </c>
      <c r="K339" s="139" t="s">
        <v>1576</v>
      </c>
      <c r="L339" s="140" t="s">
        <v>14</v>
      </c>
      <c r="M339" s="134" t="s">
        <v>2375</v>
      </c>
      <c r="N339" s="134"/>
      <c r="O339" s="134"/>
      <c r="P339" s="134"/>
      <c r="Q339" s="134"/>
      <c r="R339" s="140"/>
      <c r="S339" s="135"/>
      <c r="T339" s="135"/>
      <c r="V339" s="149"/>
      <c r="Y339" s="134"/>
      <c r="Z339" s="134"/>
    </row>
    <row r="340" spans="1:26" s="141" customFormat="1" x14ac:dyDescent="0.2">
      <c r="A340" s="141" t="s">
        <v>1612</v>
      </c>
      <c r="B340" s="134" t="s">
        <v>1613</v>
      </c>
      <c r="C340" s="135" t="s">
        <v>1614</v>
      </c>
      <c r="D340" s="136">
        <v>55.767926000000003</v>
      </c>
      <c r="E340" s="136">
        <v>22.417097999999999</v>
      </c>
      <c r="F340" s="137">
        <f>(G340+H340)/2</f>
        <v>6320</v>
      </c>
      <c r="G340" s="138">
        <v>6400</v>
      </c>
      <c r="H340" s="138">
        <v>6240</v>
      </c>
      <c r="I340" s="869" t="s">
        <v>69</v>
      </c>
      <c r="J340" s="463" t="s">
        <v>69</v>
      </c>
      <c r="K340" s="139" t="s">
        <v>1615</v>
      </c>
      <c r="L340" s="140" t="s">
        <v>69</v>
      </c>
      <c r="M340" s="141" t="s">
        <v>1616</v>
      </c>
      <c r="N340" s="134" t="s">
        <v>69</v>
      </c>
      <c r="O340" s="134" t="s">
        <v>69</v>
      </c>
      <c r="P340" s="134" t="s">
        <v>69</v>
      </c>
      <c r="Q340" s="134" t="s">
        <v>69</v>
      </c>
      <c r="R340" s="140"/>
      <c r="S340" s="135"/>
      <c r="T340" s="135"/>
      <c r="V340" s="149"/>
      <c r="Y340" s="134"/>
      <c r="Z340" s="134"/>
    </row>
    <row r="341" spans="1:26" s="141" customFormat="1" x14ac:dyDescent="0.2">
      <c r="A341" s="141" t="s">
        <v>1612</v>
      </c>
      <c r="B341" s="134" t="s">
        <v>1617</v>
      </c>
      <c r="C341" s="135" t="s">
        <v>1614</v>
      </c>
      <c r="D341" s="136">
        <v>55.807758999999997</v>
      </c>
      <c r="E341" s="136">
        <v>22.422246000000001</v>
      </c>
      <c r="F341" s="137">
        <f>(G341+H341)/2</f>
        <v>5997.5</v>
      </c>
      <c r="G341" s="138">
        <v>6075</v>
      </c>
      <c r="H341" s="138">
        <v>5920</v>
      </c>
      <c r="I341" s="466" t="s">
        <v>4308</v>
      </c>
      <c r="J341" s="463" t="s">
        <v>69</v>
      </c>
      <c r="K341" s="139" t="s">
        <v>1615</v>
      </c>
      <c r="L341" s="140" t="s">
        <v>69</v>
      </c>
      <c r="M341" s="141" t="s">
        <v>1619</v>
      </c>
      <c r="N341" s="134" t="s">
        <v>69</v>
      </c>
      <c r="O341" s="134" t="s">
        <v>69</v>
      </c>
      <c r="P341" s="134" t="s">
        <v>69</v>
      </c>
      <c r="Q341" s="134" t="s">
        <v>69</v>
      </c>
      <c r="R341" s="478" t="s">
        <v>4309</v>
      </c>
      <c r="S341" s="135"/>
      <c r="T341" s="135"/>
      <c r="V341" s="149"/>
      <c r="Y341" s="134"/>
      <c r="Z341" s="134"/>
    </row>
    <row r="342" spans="1:26" s="141" customFormat="1" x14ac:dyDescent="0.2">
      <c r="A342" s="141" t="s">
        <v>1612</v>
      </c>
      <c r="B342" s="134" t="s">
        <v>1613</v>
      </c>
      <c r="C342" s="135" t="s">
        <v>1614</v>
      </c>
      <c r="D342" s="136">
        <v>55.767926000000003</v>
      </c>
      <c r="E342" s="136">
        <v>22.417097999999999</v>
      </c>
      <c r="F342" s="137">
        <f>(G342+H342)/2</f>
        <v>6335</v>
      </c>
      <c r="G342" s="138">
        <v>6440</v>
      </c>
      <c r="H342" s="138">
        <v>6230</v>
      </c>
      <c r="I342" s="463" t="s">
        <v>1620</v>
      </c>
      <c r="J342" s="463" t="s">
        <v>69</v>
      </c>
      <c r="K342" s="139" t="s">
        <v>1615</v>
      </c>
      <c r="L342" s="140" t="s">
        <v>2</v>
      </c>
      <c r="M342" s="141" t="s">
        <v>1621</v>
      </c>
      <c r="N342" s="134" t="s">
        <v>69</v>
      </c>
      <c r="O342" s="134" t="s">
        <v>69</v>
      </c>
      <c r="P342" s="134" t="s">
        <v>69</v>
      </c>
      <c r="Q342" s="134" t="s">
        <v>69</v>
      </c>
      <c r="R342" s="140"/>
      <c r="S342" s="135"/>
      <c r="T342" s="135"/>
      <c r="V342" s="149"/>
      <c r="Y342" s="134"/>
      <c r="Z342" s="134"/>
    </row>
    <row r="343" spans="1:26" s="141" customFormat="1" x14ac:dyDescent="0.2">
      <c r="A343" s="141" t="s">
        <v>1419</v>
      </c>
      <c r="B343" s="134" t="s">
        <v>1617</v>
      </c>
      <c r="C343" s="135" t="s">
        <v>1614</v>
      </c>
      <c r="D343" s="136">
        <v>55.807758999999997</v>
      </c>
      <c r="E343" s="136">
        <v>22.422246000000001</v>
      </c>
      <c r="F343" s="137" t="s">
        <v>1422</v>
      </c>
      <c r="G343" s="138" t="s">
        <v>69</v>
      </c>
      <c r="H343" s="138" t="s">
        <v>69</v>
      </c>
      <c r="I343" s="463" t="s">
        <v>531</v>
      </c>
      <c r="J343" s="463" t="s">
        <v>69</v>
      </c>
      <c r="K343" s="139" t="s">
        <v>1622</v>
      </c>
      <c r="L343" s="140" t="s">
        <v>2</v>
      </c>
      <c r="M343" s="141" t="s">
        <v>1623</v>
      </c>
      <c r="N343" s="134" t="s">
        <v>1624</v>
      </c>
      <c r="O343" s="134" t="s">
        <v>69</v>
      </c>
      <c r="P343" s="134" t="s">
        <v>69</v>
      </c>
      <c r="Q343" s="134" t="s">
        <v>69</v>
      </c>
      <c r="R343" s="140"/>
      <c r="S343" s="135"/>
      <c r="T343" s="135"/>
      <c r="V343" s="149"/>
      <c r="Y343" s="134"/>
      <c r="Z343" s="134"/>
    </row>
    <row r="344" spans="1:26" s="141" customFormat="1" x14ac:dyDescent="0.2">
      <c r="A344" s="141" t="s">
        <v>1419</v>
      </c>
      <c r="B344" s="134" t="s">
        <v>1625</v>
      </c>
      <c r="C344" s="135" t="s">
        <v>1614</v>
      </c>
      <c r="D344" s="136" t="s">
        <v>69</v>
      </c>
      <c r="E344" s="136" t="s">
        <v>69</v>
      </c>
      <c r="F344" s="137">
        <v>4200</v>
      </c>
      <c r="G344" s="138" t="s">
        <v>69</v>
      </c>
      <c r="H344" s="138" t="s">
        <v>69</v>
      </c>
      <c r="I344" s="463" t="s">
        <v>531</v>
      </c>
      <c r="J344" s="463" t="s">
        <v>69</v>
      </c>
      <c r="K344" s="139" t="s">
        <v>1351</v>
      </c>
      <c r="L344" s="140" t="s">
        <v>2</v>
      </c>
      <c r="M344" s="141" t="s">
        <v>1626</v>
      </c>
      <c r="N344" s="134" t="s">
        <v>1627</v>
      </c>
      <c r="O344" s="134" t="s">
        <v>69</v>
      </c>
      <c r="P344" s="134" t="s">
        <v>69</v>
      </c>
      <c r="Q344" s="134" t="s">
        <v>69</v>
      </c>
      <c r="R344" s="140"/>
      <c r="S344" s="135"/>
      <c r="T344" s="135"/>
      <c r="V344" s="149"/>
      <c r="Y344" s="134"/>
      <c r="Z344" s="134"/>
    </row>
    <row r="345" spans="1:26" s="141" customFormat="1" x14ac:dyDescent="0.2">
      <c r="A345" s="141" t="s">
        <v>1419</v>
      </c>
      <c r="B345" s="134" t="s">
        <v>1625</v>
      </c>
      <c r="C345" s="135" t="s">
        <v>1614</v>
      </c>
      <c r="D345" s="136" t="s">
        <v>69</v>
      </c>
      <c r="E345" s="136" t="s">
        <v>69</v>
      </c>
      <c r="F345" s="137">
        <v>4450</v>
      </c>
      <c r="G345" s="138" t="s">
        <v>69</v>
      </c>
      <c r="H345" s="138" t="s">
        <v>69</v>
      </c>
      <c r="I345" s="463" t="s">
        <v>531</v>
      </c>
      <c r="J345" s="463" t="s">
        <v>69</v>
      </c>
      <c r="K345" s="139" t="s">
        <v>1628</v>
      </c>
      <c r="L345" s="140" t="s">
        <v>14</v>
      </c>
      <c r="M345" s="141" t="s">
        <v>1629</v>
      </c>
      <c r="N345" s="134" t="s">
        <v>1630</v>
      </c>
      <c r="O345" s="134" t="s">
        <v>69</v>
      </c>
      <c r="P345" s="134" t="s">
        <v>69</v>
      </c>
      <c r="Q345" s="134" t="s">
        <v>69</v>
      </c>
      <c r="R345" s="140"/>
      <c r="S345" s="135"/>
      <c r="T345" s="135"/>
      <c r="V345" s="149"/>
      <c r="Y345" s="134"/>
      <c r="Z345" s="134"/>
    </row>
    <row r="346" spans="1:26" s="141" customFormat="1" x14ac:dyDescent="0.2">
      <c r="A346" s="141" t="s">
        <v>1612</v>
      </c>
      <c r="B346" s="134" t="s">
        <v>1617</v>
      </c>
      <c r="C346" s="135" t="s">
        <v>1614</v>
      </c>
      <c r="D346" s="136">
        <v>55.807758999999997</v>
      </c>
      <c r="E346" s="136">
        <v>22.422246000000001</v>
      </c>
      <c r="F346" s="137">
        <f>(G346+H346)/2</f>
        <v>5870</v>
      </c>
      <c r="G346" s="138">
        <v>6000</v>
      </c>
      <c r="H346" s="138">
        <v>5740</v>
      </c>
      <c r="I346" s="463" t="s">
        <v>1480</v>
      </c>
      <c r="J346" s="463" t="s">
        <v>80</v>
      </c>
      <c r="K346" s="139" t="s">
        <v>1615</v>
      </c>
      <c r="L346" s="140" t="s">
        <v>14</v>
      </c>
      <c r="M346" s="141" t="s">
        <v>1631</v>
      </c>
      <c r="N346" s="134" t="s">
        <v>69</v>
      </c>
      <c r="O346" s="134" t="s">
        <v>69</v>
      </c>
      <c r="P346" s="134" t="s">
        <v>69</v>
      </c>
      <c r="Q346" s="134" t="s">
        <v>69</v>
      </c>
      <c r="R346" s="140"/>
      <c r="S346" s="135"/>
      <c r="T346" s="135"/>
      <c r="V346" s="149"/>
      <c r="Y346" s="134"/>
      <c r="Z346" s="134"/>
    </row>
    <row r="347" spans="1:26" s="141" customFormat="1" x14ac:dyDescent="0.2">
      <c r="A347" s="141" t="s">
        <v>1419</v>
      </c>
      <c r="B347" s="134" t="s">
        <v>1650</v>
      </c>
      <c r="C347" s="135" t="s">
        <v>1651</v>
      </c>
      <c r="D347" s="136" t="s">
        <v>69</v>
      </c>
      <c r="E347" s="136" t="s">
        <v>69</v>
      </c>
      <c r="F347" s="137">
        <v>2250</v>
      </c>
      <c r="G347" s="138" t="s">
        <v>69</v>
      </c>
      <c r="H347" s="138" t="s">
        <v>69</v>
      </c>
      <c r="I347" s="463" t="s">
        <v>62</v>
      </c>
      <c r="J347" s="463" t="s">
        <v>69</v>
      </c>
      <c r="K347" s="139" t="s">
        <v>1422</v>
      </c>
      <c r="L347" s="140" t="s">
        <v>14</v>
      </c>
      <c r="M347" s="141" t="s">
        <v>1652</v>
      </c>
      <c r="N347" s="134" t="s">
        <v>1653</v>
      </c>
      <c r="O347" s="134" t="s">
        <v>69</v>
      </c>
      <c r="P347" s="134" t="s">
        <v>69</v>
      </c>
      <c r="Q347" s="134" t="s">
        <v>69</v>
      </c>
      <c r="R347" s="140"/>
      <c r="S347" s="135"/>
      <c r="T347" s="135"/>
      <c r="V347" s="149"/>
      <c r="Y347" s="134"/>
      <c r="Z347" s="134"/>
    </row>
    <row r="348" spans="1:26" s="141" customFormat="1" x14ac:dyDescent="0.2">
      <c r="A348" s="141" t="s">
        <v>1419</v>
      </c>
      <c r="B348" s="134" t="s">
        <v>1654</v>
      </c>
      <c r="C348" s="135" t="s">
        <v>1651</v>
      </c>
      <c r="D348" s="136" t="s">
        <v>69</v>
      </c>
      <c r="E348" s="136" t="s">
        <v>69</v>
      </c>
      <c r="F348" s="137">
        <v>3650</v>
      </c>
      <c r="G348" s="138" t="s">
        <v>69</v>
      </c>
      <c r="H348" s="138" t="s">
        <v>69</v>
      </c>
      <c r="I348" s="463" t="s">
        <v>510</v>
      </c>
      <c r="J348" s="463" t="s">
        <v>69</v>
      </c>
      <c r="K348" s="139" t="s">
        <v>1655</v>
      </c>
      <c r="L348" s="140" t="s">
        <v>69</v>
      </c>
      <c r="M348" s="141" t="s">
        <v>1656</v>
      </c>
      <c r="N348" s="134" t="s">
        <v>1657</v>
      </c>
      <c r="O348" s="134" t="s">
        <v>69</v>
      </c>
      <c r="P348" s="134" t="s">
        <v>69</v>
      </c>
      <c r="Q348" s="134" t="s">
        <v>69</v>
      </c>
      <c r="R348" s="140"/>
      <c r="S348" s="135"/>
      <c r="T348" s="135"/>
      <c r="V348" s="149"/>
      <c r="Y348" s="134"/>
      <c r="Z348" s="134"/>
    </row>
    <row r="349" spans="1:26" s="141" customFormat="1" x14ac:dyDescent="0.2">
      <c r="A349" s="141" t="s">
        <v>1419</v>
      </c>
      <c r="B349" s="134" t="s">
        <v>1654</v>
      </c>
      <c r="C349" s="135" t="s">
        <v>1651</v>
      </c>
      <c r="D349" s="136" t="s">
        <v>69</v>
      </c>
      <c r="E349" s="136" t="s">
        <v>69</v>
      </c>
      <c r="F349" s="137">
        <v>3500</v>
      </c>
      <c r="G349" s="138">
        <v>4000</v>
      </c>
      <c r="H349" s="138">
        <v>3000</v>
      </c>
      <c r="I349" s="463" t="s">
        <v>510</v>
      </c>
      <c r="J349" s="463" t="s">
        <v>69</v>
      </c>
      <c r="K349" s="139" t="s">
        <v>1658</v>
      </c>
      <c r="L349" s="140" t="s">
        <v>69</v>
      </c>
      <c r="M349" s="141" t="s">
        <v>1659</v>
      </c>
      <c r="N349" s="134" t="s">
        <v>1660</v>
      </c>
      <c r="O349" s="134" t="s">
        <v>1661</v>
      </c>
      <c r="P349" s="134" t="s">
        <v>69</v>
      </c>
      <c r="Q349" s="134" t="s">
        <v>69</v>
      </c>
      <c r="R349" s="140"/>
      <c r="S349" s="135"/>
      <c r="T349" s="135"/>
      <c r="V349" s="149"/>
      <c r="Y349" s="134"/>
      <c r="Z349" s="134"/>
    </row>
    <row r="350" spans="1:26" s="141" customFormat="1" x14ac:dyDescent="0.2">
      <c r="A350" s="141" t="s">
        <v>1662</v>
      </c>
      <c r="B350" s="134" t="s">
        <v>1663</v>
      </c>
      <c r="C350" s="135" t="s">
        <v>1651</v>
      </c>
      <c r="D350" s="136">
        <v>51.482367500000002</v>
      </c>
      <c r="E350" s="136">
        <v>17.5398763</v>
      </c>
      <c r="F350" s="137">
        <v>5509</v>
      </c>
      <c r="G350" s="138">
        <v>5644</v>
      </c>
      <c r="H350" s="138">
        <v>5374</v>
      </c>
      <c r="I350" s="463" t="s">
        <v>1664</v>
      </c>
      <c r="J350" s="463" t="s">
        <v>69</v>
      </c>
      <c r="K350" s="139" t="s">
        <v>1665</v>
      </c>
      <c r="L350" s="140" t="s">
        <v>14</v>
      </c>
      <c r="M350" s="141" t="s">
        <v>1666</v>
      </c>
      <c r="N350" s="134" t="s">
        <v>69</v>
      </c>
      <c r="O350" s="134" t="s">
        <v>69</v>
      </c>
      <c r="P350" s="134" t="s">
        <v>69</v>
      </c>
      <c r="Q350" s="134" t="s">
        <v>69</v>
      </c>
      <c r="R350" s="140"/>
      <c r="S350" s="135"/>
      <c r="T350" s="135"/>
      <c r="V350" s="149"/>
      <c r="Y350" s="134"/>
      <c r="Z350" s="134"/>
    </row>
    <row r="351" spans="1:26" s="141" customFormat="1" x14ac:dyDescent="0.2">
      <c r="A351" s="141" t="s">
        <v>1718</v>
      </c>
      <c r="B351" s="134" t="s">
        <v>1719</v>
      </c>
      <c r="C351" s="135" t="s">
        <v>1720</v>
      </c>
      <c r="D351" s="136">
        <v>56.05</v>
      </c>
      <c r="E351" s="136">
        <v>92.87</v>
      </c>
      <c r="F351" s="137">
        <f>(G351+H351)/2</f>
        <v>14760</v>
      </c>
      <c r="G351" s="138">
        <v>14980</v>
      </c>
      <c r="H351" s="138">
        <v>14540</v>
      </c>
      <c r="I351" s="869" t="s">
        <v>69</v>
      </c>
      <c r="J351" s="463" t="s">
        <v>69</v>
      </c>
      <c r="K351" s="139" t="s">
        <v>1702</v>
      </c>
      <c r="L351" s="140" t="s">
        <v>14</v>
      </c>
      <c r="M351" s="141" t="s">
        <v>1721</v>
      </c>
      <c r="N351" s="134" t="s">
        <v>69</v>
      </c>
      <c r="O351" s="134" t="s">
        <v>69</v>
      </c>
      <c r="P351" s="134" t="s">
        <v>69</v>
      </c>
      <c r="Q351" s="134" t="s">
        <v>69</v>
      </c>
      <c r="R351" s="140"/>
      <c r="S351" s="135"/>
      <c r="T351" s="135"/>
      <c r="V351" s="149"/>
      <c r="Y351" s="134"/>
      <c r="Z351" s="134"/>
    </row>
    <row r="352" spans="1:26" s="141" customFormat="1" x14ac:dyDescent="0.2">
      <c r="A352" s="141" t="s">
        <v>1283</v>
      </c>
      <c r="B352" s="134" t="s">
        <v>1722</v>
      </c>
      <c r="C352" s="135" t="s">
        <v>1720</v>
      </c>
      <c r="D352" s="136">
        <v>51.23</v>
      </c>
      <c r="E352" s="136">
        <v>39.299999999999997</v>
      </c>
      <c r="F352" s="137">
        <f>(G352+H352)/2</f>
        <v>35520</v>
      </c>
      <c r="G352" s="138">
        <v>36730</v>
      </c>
      <c r="H352" s="138">
        <v>34310</v>
      </c>
      <c r="I352" s="869" t="s">
        <v>69</v>
      </c>
      <c r="J352" s="463" t="s">
        <v>1723</v>
      </c>
      <c r="K352" s="139" t="s">
        <v>1724</v>
      </c>
      <c r="L352" s="140" t="s">
        <v>14</v>
      </c>
      <c r="M352" s="141" t="s">
        <v>1724</v>
      </c>
      <c r="N352" s="134" t="s">
        <v>1725</v>
      </c>
      <c r="O352" s="134" t="s">
        <v>69</v>
      </c>
      <c r="P352" s="134" t="s">
        <v>69</v>
      </c>
      <c r="Q352" s="134" t="s">
        <v>69</v>
      </c>
      <c r="R352" s="140"/>
      <c r="S352" s="135"/>
      <c r="T352" s="135"/>
      <c r="V352" s="149"/>
      <c r="Y352" s="134"/>
      <c r="Z352" s="134"/>
    </row>
    <row r="353" spans="1:26" s="141" customFormat="1" x14ac:dyDescent="0.2">
      <c r="A353" s="141" t="s">
        <v>1726</v>
      </c>
      <c r="B353" s="134" t="s">
        <v>1727</v>
      </c>
      <c r="C353" s="135" t="s">
        <v>1720</v>
      </c>
      <c r="D353" s="136">
        <v>52.9</v>
      </c>
      <c r="E353" s="136">
        <v>103.5</v>
      </c>
      <c r="F353" s="137">
        <f>(G353+H353)/2</f>
        <v>22355</v>
      </c>
      <c r="G353" s="138">
        <v>22570</v>
      </c>
      <c r="H353" s="138">
        <v>22140</v>
      </c>
      <c r="I353" s="869" t="s">
        <v>69</v>
      </c>
      <c r="J353" s="463" t="s">
        <v>1314</v>
      </c>
      <c r="K353" s="139" t="s">
        <v>1728</v>
      </c>
      <c r="L353" s="140" t="s">
        <v>14</v>
      </c>
      <c r="M353" s="141" t="s">
        <v>1729</v>
      </c>
      <c r="N353" s="134" t="s">
        <v>1730</v>
      </c>
      <c r="O353" s="134" t="s">
        <v>69</v>
      </c>
      <c r="P353" s="134" t="s">
        <v>69</v>
      </c>
      <c r="Q353" s="134" t="s">
        <v>69</v>
      </c>
      <c r="R353" s="140"/>
      <c r="S353" s="135"/>
      <c r="T353" s="135"/>
      <c r="V353" s="149"/>
      <c r="Y353" s="134"/>
      <c r="Z353" s="134"/>
    </row>
    <row r="354" spans="1:26" s="141" customFormat="1" x14ac:dyDescent="0.2">
      <c r="A354" s="141" t="s">
        <v>1731</v>
      </c>
      <c r="B354" s="134" t="s">
        <v>1732</v>
      </c>
      <c r="C354" s="135" t="s">
        <v>1720</v>
      </c>
      <c r="D354" s="136">
        <v>56.167000000000002</v>
      </c>
      <c r="E354" s="136">
        <v>40.5</v>
      </c>
      <c r="F354" s="137">
        <f>(G354+H354)/2</f>
        <v>28313</v>
      </c>
      <c r="G354" s="138">
        <v>28830</v>
      </c>
      <c r="H354" s="138">
        <v>27796</v>
      </c>
      <c r="I354" s="869" t="s">
        <v>69</v>
      </c>
      <c r="J354" s="463" t="s">
        <v>69</v>
      </c>
      <c r="K354" s="139" t="s">
        <v>1733</v>
      </c>
      <c r="L354" s="140" t="s">
        <v>14</v>
      </c>
      <c r="M354" s="141" t="s">
        <v>1734</v>
      </c>
      <c r="N354" s="134" t="s">
        <v>69</v>
      </c>
      <c r="O354" s="134" t="s">
        <v>69</v>
      </c>
      <c r="P354" s="134" t="s">
        <v>69</v>
      </c>
      <c r="Q354" s="134" t="s">
        <v>69</v>
      </c>
      <c r="R354" s="140"/>
      <c r="S354" s="135"/>
      <c r="T354" s="135"/>
      <c r="V354" s="149"/>
      <c r="Y354" s="134"/>
      <c r="Z354" s="134"/>
    </row>
    <row r="355" spans="1:26" s="141" customFormat="1" x14ac:dyDescent="0.2">
      <c r="A355" s="141" t="s">
        <v>1735</v>
      </c>
      <c r="B355" s="134" t="s">
        <v>1736</v>
      </c>
      <c r="C355" s="135" t="s">
        <v>1720</v>
      </c>
      <c r="D355" s="136">
        <v>62.046435908474997</v>
      </c>
      <c r="E355" s="136">
        <v>35.363776353407602</v>
      </c>
      <c r="F355" s="137">
        <v>5300</v>
      </c>
      <c r="G355" s="138">
        <v>5550</v>
      </c>
      <c r="H355" s="138">
        <v>5050</v>
      </c>
      <c r="I355" s="463" t="s">
        <v>1737</v>
      </c>
      <c r="J355" s="463" t="s">
        <v>69</v>
      </c>
      <c r="K355" s="139" t="s">
        <v>1738</v>
      </c>
      <c r="L355" s="140" t="s">
        <v>69</v>
      </c>
      <c r="M355" s="141" t="s">
        <v>1739</v>
      </c>
      <c r="N355" s="134" t="s">
        <v>69</v>
      </c>
      <c r="O355" s="134" t="s">
        <v>69</v>
      </c>
      <c r="P355" s="134" t="s">
        <v>69</v>
      </c>
      <c r="Q355" s="134" t="s">
        <v>69</v>
      </c>
      <c r="R355" s="140"/>
      <c r="S355" s="135"/>
      <c r="T355" s="135"/>
      <c r="V355" s="149"/>
      <c r="Y355" s="134"/>
      <c r="Z355" s="134"/>
    </row>
    <row r="356" spans="1:26" s="141" customFormat="1" x14ac:dyDescent="0.2">
      <c r="A356" s="141" t="s">
        <v>1735</v>
      </c>
      <c r="B356" s="134" t="s">
        <v>1736</v>
      </c>
      <c r="C356" s="135" t="s">
        <v>1720</v>
      </c>
      <c r="D356" s="136">
        <v>62.046435908474997</v>
      </c>
      <c r="E356" s="136">
        <v>35.363776353407602</v>
      </c>
      <c r="F356" s="137">
        <v>5300</v>
      </c>
      <c r="G356" s="138">
        <v>5550</v>
      </c>
      <c r="H356" s="138">
        <v>5050</v>
      </c>
      <c r="I356" s="463" t="s">
        <v>1737</v>
      </c>
      <c r="J356" s="463" t="s">
        <v>69</v>
      </c>
      <c r="K356" s="139" t="s">
        <v>1738</v>
      </c>
      <c r="L356" s="140" t="s">
        <v>69</v>
      </c>
      <c r="M356" s="141" t="s">
        <v>1740</v>
      </c>
      <c r="N356" s="134" t="s">
        <v>69</v>
      </c>
      <c r="O356" s="134" t="s">
        <v>69</v>
      </c>
      <c r="P356" s="134" t="s">
        <v>69</v>
      </c>
      <c r="Q356" s="134" t="s">
        <v>69</v>
      </c>
      <c r="R356" s="140"/>
      <c r="S356" s="135"/>
      <c r="T356" s="135"/>
      <c r="V356" s="149"/>
      <c r="Y356" s="134"/>
      <c r="Z356" s="134"/>
    </row>
    <row r="357" spans="1:26" s="141" customFormat="1" x14ac:dyDescent="0.2">
      <c r="A357" s="141" t="s">
        <v>1741</v>
      </c>
      <c r="B357" s="134" t="s">
        <v>1736</v>
      </c>
      <c r="C357" s="135" t="s">
        <v>1720</v>
      </c>
      <c r="D357" s="136">
        <v>62.046435908474997</v>
      </c>
      <c r="E357" s="136">
        <v>35.363776353407602</v>
      </c>
      <c r="F357" s="137">
        <f>(G357+H357)/2</f>
        <v>6329.5</v>
      </c>
      <c r="G357" s="138">
        <v>6773</v>
      </c>
      <c r="H357" s="138">
        <v>5886</v>
      </c>
      <c r="I357" s="463" t="s">
        <v>1737</v>
      </c>
      <c r="J357" s="463" t="s">
        <v>1742</v>
      </c>
      <c r="K357" s="139" t="s">
        <v>1743</v>
      </c>
      <c r="L357" s="140" t="s">
        <v>14</v>
      </c>
      <c r="M357" s="141" t="s">
        <v>1744</v>
      </c>
      <c r="N357" s="134" t="s">
        <v>1745</v>
      </c>
      <c r="O357" s="134" t="s">
        <v>69</v>
      </c>
      <c r="P357" s="134" t="s">
        <v>69</v>
      </c>
      <c r="Q357" s="134" t="s">
        <v>69</v>
      </c>
      <c r="R357" s="140"/>
      <c r="S357" s="135"/>
      <c r="T357" s="135"/>
      <c r="V357" s="149"/>
      <c r="Y357" s="134"/>
      <c r="Z357" s="134"/>
    </row>
    <row r="358" spans="1:26" s="141" customFormat="1" x14ac:dyDescent="0.2">
      <c r="A358" s="141" t="s">
        <v>1746</v>
      </c>
      <c r="B358" s="134" t="s">
        <v>1747</v>
      </c>
      <c r="C358" s="135" t="s">
        <v>1720</v>
      </c>
      <c r="D358" s="136">
        <v>76.141110999999995</v>
      </c>
      <c r="E358" s="136">
        <v>152.733056</v>
      </c>
      <c r="F358" s="137">
        <v>6075</v>
      </c>
      <c r="G358" s="138">
        <v>6300</v>
      </c>
      <c r="H358" s="138">
        <v>5850</v>
      </c>
      <c r="I358" s="463" t="s">
        <v>1748</v>
      </c>
      <c r="J358" s="463" t="s">
        <v>69</v>
      </c>
      <c r="K358" s="139" t="s">
        <v>1749</v>
      </c>
      <c r="L358" s="140" t="s">
        <v>69</v>
      </c>
      <c r="M358" s="141" t="s">
        <v>1750</v>
      </c>
      <c r="N358" s="134" t="s">
        <v>69</v>
      </c>
      <c r="O358" s="134" t="s">
        <v>69</v>
      </c>
      <c r="P358" s="134" t="s">
        <v>69</v>
      </c>
      <c r="Q358" s="134" t="s">
        <v>69</v>
      </c>
      <c r="R358" s="140"/>
      <c r="S358" s="135"/>
      <c r="T358" s="135"/>
      <c r="V358" s="149"/>
      <c r="Y358" s="134"/>
      <c r="Z358" s="134"/>
    </row>
    <row r="359" spans="1:26" s="141" customFormat="1" x14ac:dyDescent="0.2">
      <c r="A359" s="141" t="s">
        <v>1751</v>
      </c>
      <c r="B359" s="134" t="s">
        <v>1752</v>
      </c>
      <c r="C359" s="135" t="s">
        <v>1720</v>
      </c>
      <c r="D359" s="136">
        <v>50.534142000000003</v>
      </c>
      <c r="E359" s="136">
        <v>106.274289</v>
      </c>
      <c r="F359" s="137">
        <v>11954</v>
      </c>
      <c r="G359" s="138">
        <v>12104</v>
      </c>
      <c r="H359" s="138">
        <v>11821</v>
      </c>
      <c r="I359" s="463" t="s">
        <v>1748</v>
      </c>
      <c r="J359" s="463" t="s">
        <v>1753</v>
      </c>
      <c r="K359" s="139" t="s">
        <v>1754</v>
      </c>
      <c r="L359" s="140" t="s">
        <v>14</v>
      </c>
      <c r="M359" s="141" t="s">
        <v>1755</v>
      </c>
      <c r="N359" s="134" t="s">
        <v>69</v>
      </c>
      <c r="O359" s="134" t="s">
        <v>69</v>
      </c>
      <c r="P359" s="134" t="s">
        <v>69</v>
      </c>
      <c r="Q359" s="134" t="s">
        <v>69</v>
      </c>
      <c r="R359" s="140"/>
      <c r="S359" s="135"/>
      <c r="T359" s="135"/>
      <c r="V359" s="149"/>
      <c r="Y359" s="134"/>
      <c r="Z359" s="134"/>
    </row>
    <row r="360" spans="1:26" s="141" customFormat="1" x14ac:dyDescent="0.2">
      <c r="A360" s="141" t="s">
        <v>1756</v>
      </c>
      <c r="B360" s="134" t="s">
        <v>1757</v>
      </c>
      <c r="C360" s="135" t="s">
        <v>1720</v>
      </c>
      <c r="D360" s="136">
        <v>55.668922222222221</v>
      </c>
      <c r="E360" s="136">
        <v>115.87208055555556</v>
      </c>
      <c r="F360" s="137">
        <v>6496.5</v>
      </c>
      <c r="G360" s="138">
        <v>6564</v>
      </c>
      <c r="H360" s="138">
        <v>6429</v>
      </c>
      <c r="I360" s="463" t="s">
        <v>1758</v>
      </c>
      <c r="J360" s="463" t="s">
        <v>1759</v>
      </c>
      <c r="K360" s="139" t="s">
        <v>1749</v>
      </c>
      <c r="L360" s="140" t="s">
        <v>14</v>
      </c>
      <c r="M360" s="141" t="s">
        <v>1760</v>
      </c>
      <c r="N360" s="134" t="s">
        <v>69</v>
      </c>
      <c r="O360" s="134" t="s">
        <v>69</v>
      </c>
      <c r="P360" s="134" t="s">
        <v>69</v>
      </c>
      <c r="Q360" s="134" t="s">
        <v>69</v>
      </c>
      <c r="R360" s="140"/>
      <c r="S360" s="135"/>
      <c r="T360" s="135"/>
      <c r="V360" s="149"/>
      <c r="Y360" s="134"/>
      <c r="Z360" s="134"/>
    </row>
    <row r="361" spans="1:26" s="141" customFormat="1" x14ac:dyDescent="0.2">
      <c r="A361" s="141" t="s">
        <v>1761</v>
      </c>
      <c r="B361" s="134" t="s">
        <v>1762</v>
      </c>
      <c r="C361" s="135" t="s">
        <v>1720</v>
      </c>
      <c r="D361" s="136">
        <v>70.716667000000001</v>
      </c>
      <c r="E361" s="136">
        <v>135.41666699999999</v>
      </c>
      <c r="F361" s="137">
        <v>7809</v>
      </c>
      <c r="G361" s="138">
        <v>7944</v>
      </c>
      <c r="H361" s="138">
        <v>7708</v>
      </c>
      <c r="I361" s="463" t="s">
        <v>1763</v>
      </c>
      <c r="J361" s="463" t="s">
        <v>1764</v>
      </c>
      <c r="K361" s="139" t="s">
        <v>1765</v>
      </c>
      <c r="L361" s="140" t="s">
        <v>14</v>
      </c>
      <c r="M361" s="141" t="s">
        <v>1766</v>
      </c>
      <c r="N361" s="134" t="s">
        <v>69</v>
      </c>
      <c r="O361" s="134" t="s">
        <v>69</v>
      </c>
      <c r="P361" s="134" t="s">
        <v>69</v>
      </c>
      <c r="Q361" s="134" t="s">
        <v>69</v>
      </c>
      <c r="R361" s="140"/>
      <c r="S361" s="135"/>
      <c r="T361" s="135"/>
      <c r="V361" s="149"/>
      <c r="Y361" s="134"/>
      <c r="Z361" s="134"/>
    </row>
    <row r="362" spans="1:26" s="141" customFormat="1" x14ac:dyDescent="0.2">
      <c r="A362" s="141" t="s">
        <v>1767</v>
      </c>
      <c r="B362" s="134" t="s">
        <v>1768</v>
      </c>
      <c r="C362" s="135" t="s">
        <v>1720</v>
      </c>
      <c r="D362" s="136">
        <v>50.017138888888887</v>
      </c>
      <c r="E362" s="136">
        <v>18.939525</v>
      </c>
      <c r="F362" s="137">
        <v>6316</v>
      </c>
      <c r="G362" s="138">
        <v>6391</v>
      </c>
      <c r="H362" s="138">
        <v>6241</v>
      </c>
      <c r="I362" s="463" t="s">
        <v>1769</v>
      </c>
      <c r="J362" s="463" t="s">
        <v>69</v>
      </c>
      <c r="K362" s="139" t="s">
        <v>1749</v>
      </c>
      <c r="L362" s="140" t="s">
        <v>2</v>
      </c>
      <c r="M362" s="141" t="s">
        <v>1770</v>
      </c>
      <c r="N362" s="134" t="s">
        <v>69</v>
      </c>
      <c r="O362" s="134" t="s">
        <v>69</v>
      </c>
      <c r="P362" s="134" t="s">
        <v>69</v>
      </c>
      <c r="Q362" s="134" t="s">
        <v>69</v>
      </c>
      <c r="R362" s="140"/>
      <c r="S362" s="135"/>
      <c r="T362" s="135"/>
      <c r="V362" s="149"/>
      <c r="Y362" s="134"/>
      <c r="Z362" s="134"/>
    </row>
    <row r="363" spans="1:26" s="141" customFormat="1" x14ac:dyDescent="0.2">
      <c r="A363" s="141" t="s">
        <v>1746</v>
      </c>
      <c r="B363" s="134" t="s">
        <v>1771</v>
      </c>
      <c r="C363" s="135" t="s">
        <v>1720</v>
      </c>
      <c r="D363" s="136">
        <v>68.633333329999999</v>
      </c>
      <c r="E363" s="136">
        <v>159.05000000000001</v>
      </c>
      <c r="F363" s="137">
        <v>6850</v>
      </c>
      <c r="G363" s="138">
        <v>6900</v>
      </c>
      <c r="H363" s="138">
        <v>6800</v>
      </c>
      <c r="I363" s="463" t="s">
        <v>18</v>
      </c>
      <c r="J363" s="463" t="s">
        <v>69</v>
      </c>
      <c r="K363" s="139" t="s">
        <v>1749</v>
      </c>
      <c r="L363" s="140" t="s">
        <v>69</v>
      </c>
      <c r="M363" s="141" t="s">
        <v>1772</v>
      </c>
      <c r="N363" s="134" t="s">
        <v>69</v>
      </c>
      <c r="O363" s="134" t="s">
        <v>69</v>
      </c>
      <c r="P363" s="134" t="s">
        <v>69</v>
      </c>
      <c r="Q363" s="134" t="s">
        <v>69</v>
      </c>
      <c r="R363" s="140"/>
      <c r="S363" s="135"/>
      <c r="T363" s="135"/>
      <c r="V363" s="149"/>
      <c r="Y363" s="134"/>
      <c r="Z363" s="134"/>
    </row>
    <row r="364" spans="1:26" s="141" customFormat="1" x14ac:dyDescent="0.2">
      <c r="A364" s="141" t="s">
        <v>1746</v>
      </c>
      <c r="B364" s="134" t="s">
        <v>1747</v>
      </c>
      <c r="C364" s="135" t="s">
        <v>1720</v>
      </c>
      <c r="D364" s="136">
        <v>76.141110999999995</v>
      </c>
      <c r="E364" s="136">
        <v>152.733056</v>
      </c>
      <c r="F364" s="137">
        <v>6010</v>
      </c>
      <c r="G364" s="138">
        <v>6050</v>
      </c>
      <c r="H364" s="138">
        <v>5970</v>
      </c>
      <c r="I364" s="463" t="s">
        <v>14</v>
      </c>
      <c r="J364" s="463" t="s">
        <v>69</v>
      </c>
      <c r="K364" s="139" t="s">
        <v>1749</v>
      </c>
      <c r="L364" s="140" t="s">
        <v>69</v>
      </c>
      <c r="M364" s="141" t="s">
        <v>1773</v>
      </c>
      <c r="N364" s="134" t="s">
        <v>69</v>
      </c>
      <c r="O364" s="134" t="s">
        <v>69</v>
      </c>
      <c r="P364" s="134" t="s">
        <v>69</v>
      </c>
      <c r="Q364" s="134" t="s">
        <v>69</v>
      </c>
      <c r="R364" s="140"/>
      <c r="S364" s="135"/>
      <c r="T364" s="135"/>
      <c r="V364" s="149"/>
      <c r="Y364" s="134"/>
      <c r="Z364" s="134"/>
    </row>
    <row r="365" spans="1:26" s="141" customFormat="1" x14ac:dyDescent="0.2">
      <c r="A365" s="141" t="s">
        <v>1774</v>
      </c>
      <c r="B365" s="134" t="s">
        <v>1775</v>
      </c>
      <c r="C365" s="135" t="s">
        <v>1720</v>
      </c>
      <c r="D365" s="136">
        <v>57.43</v>
      </c>
      <c r="E365" s="136">
        <v>71.099999999999994</v>
      </c>
      <c r="F365" s="137">
        <f>(G365+H365)/2</f>
        <v>43070</v>
      </c>
      <c r="G365" s="138">
        <v>45530</v>
      </c>
      <c r="H365" s="138">
        <v>40610</v>
      </c>
      <c r="I365" s="463" t="s">
        <v>1314</v>
      </c>
      <c r="J365" s="463" t="s">
        <v>1776</v>
      </c>
      <c r="K365" s="139" t="s">
        <v>1702</v>
      </c>
      <c r="L365" s="140" t="s">
        <v>14</v>
      </c>
      <c r="M365" s="141" t="s">
        <v>1777</v>
      </c>
      <c r="N365" s="134" t="s">
        <v>69</v>
      </c>
      <c r="O365" s="134" t="s">
        <v>69</v>
      </c>
      <c r="P365" s="134" t="s">
        <v>69</v>
      </c>
      <c r="Q365" s="134" t="s">
        <v>69</v>
      </c>
      <c r="R365" s="140"/>
      <c r="S365" s="135"/>
      <c r="T365" s="135"/>
      <c r="V365" s="149"/>
      <c r="Y365" s="134"/>
      <c r="Z365" s="134"/>
    </row>
    <row r="366" spans="1:26" s="141" customFormat="1" x14ac:dyDescent="0.2">
      <c r="A366" s="141" t="s">
        <v>1756</v>
      </c>
      <c r="B366" s="134" t="s">
        <v>1778</v>
      </c>
      <c r="C366" s="135" t="s">
        <v>1720</v>
      </c>
      <c r="D366" s="136">
        <v>59.95</v>
      </c>
      <c r="E366" s="136">
        <v>117.46666666666667</v>
      </c>
      <c r="F366" s="137">
        <v>14734.5</v>
      </c>
      <c r="G366" s="138">
        <v>14969</v>
      </c>
      <c r="H366" s="138">
        <v>14500</v>
      </c>
      <c r="I366" s="463" t="s">
        <v>1779</v>
      </c>
      <c r="J366" s="463" t="s">
        <v>69</v>
      </c>
      <c r="K366" s="139" t="s">
        <v>1308</v>
      </c>
      <c r="L366" s="140" t="s">
        <v>2</v>
      </c>
      <c r="M366" s="141" t="s">
        <v>1780</v>
      </c>
      <c r="N366" s="134" t="s">
        <v>69</v>
      </c>
      <c r="O366" s="134" t="s">
        <v>69</v>
      </c>
      <c r="P366" s="134" t="s">
        <v>69</v>
      </c>
      <c r="Q366" s="134" t="s">
        <v>69</v>
      </c>
      <c r="R366" s="140"/>
      <c r="S366" s="135"/>
      <c r="T366" s="135"/>
      <c r="V366" s="149"/>
      <c r="Y366" s="134"/>
      <c r="Z366" s="134"/>
    </row>
    <row r="367" spans="1:26" s="141" customFormat="1" x14ac:dyDescent="0.2">
      <c r="A367" s="141" t="s">
        <v>1612</v>
      </c>
      <c r="B367" s="134" t="s">
        <v>1736</v>
      </c>
      <c r="C367" s="135" t="s">
        <v>1720</v>
      </c>
      <c r="D367" s="136">
        <v>62.046435908474997</v>
      </c>
      <c r="E367" s="136">
        <v>35.363776353407602</v>
      </c>
      <c r="F367" s="137">
        <f>(G367+H367)/2</f>
        <v>5250</v>
      </c>
      <c r="G367" s="138">
        <v>5500</v>
      </c>
      <c r="H367" s="138">
        <v>5000</v>
      </c>
      <c r="I367" s="463" t="s">
        <v>705</v>
      </c>
      <c r="J367" s="463" t="s">
        <v>69</v>
      </c>
      <c r="K367" s="139" t="s">
        <v>1696</v>
      </c>
      <c r="L367" s="140" t="s">
        <v>2</v>
      </c>
      <c r="M367" s="141" t="s">
        <v>1781</v>
      </c>
      <c r="N367" s="134" t="s">
        <v>69</v>
      </c>
      <c r="O367" s="134" t="s">
        <v>69</v>
      </c>
      <c r="P367" s="134" t="s">
        <v>69</v>
      </c>
      <c r="Q367" s="134" t="s">
        <v>69</v>
      </c>
      <c r="R367" s="140"/>
      <c r="S367" s="135"/>
      <c r="T367" s="135"/>
      <c r="V367" s="149"/>
      <c r="Y367" s="134"/>
      <c r="Z367" s="134"/>
    </row>
    <row r="368" spans="1:26" s="141" customFormat="1" x14ac:dyDescent="0.2">
      <c r="A368" s="141" t="s">
        <v>1267</v>
      </c>
      <c r="B368" s="134" t="s">
        <v>1719</v>
      </c>
      <c r="C368" s="135" t="s">
        <v>1720</v>
      </c>
      <c r="D368" s="136">
        <v>56.05</v>
      </c>
      <c r="E368" s="136">
        <v>92.87</v>
      </c>
      <c r="F368" s="137">
        <f>(G368+H368)/2</f>
        <v>14760</v>
      </c>
      <c r="G368" s="138">
        <v>14980</v>
      </c>
      <c r="H368" s="138">
        <v>14540</v>
      </c>
      <c r="I368" s="463" t="s">
        <v>1782</v>
      </c>
      <c r="J368" s="463" t="s">
        <v>69</v>
      </c>
      <c r="K368" s="139" t="s">
        <v>1702</v>
      </c>
      <c r="L368" s="140" t="s">
        <v>2</v>
      </c>
      <c r="M368" s="141" t="s">
        <v>1783</v>
      </c>
      <c r="N368" s="134" t="s">
        <v>69</v>
      </c>
      <c r="O368" s="134" t="s">
        <v>69</v>
      </c>
      <c r="P368" s="134" t="s">
        <v>69</v>
      </c>
      <c r="Q368" s="134" t="s">
        <v>69</v>
      </c>
      <c r="R368" s="140"/>
      <c r="S368" s="135"/>
      <c r="T368" s="135"/>
      <c r="V368" s="149"/>
      <c r="Y368" s="134"/>
      <c r="Z368" s="134"/>
    </row>
    <row r="369" spans="1:26" s="141" customFormat="1" x14ac:dyDescent="0.2">
      <c r="A369" s="141" t="s">
        <v>1784</v>
      </c>
      <c r="B369" s="134" t="s">
        <v>1785</v>
      </c>
      <c r="C369" s="135" t="s">
        <v>1720</v>
      </c>
      <c r="D369" s="136">
        <v>60.467834996986497</v>
      </c>
      <c r="E369" s="136">
        <v>38.900615366037997</v>
      </c>
      <c r="F369" s="137">
        <f>(6457+6258)/2</f>
        <v>6357.5</v>
      </c>
      <c r="G369" s="138">
        <v>6457</v>
      </c>
      <c r="H369" s="138">
        <v>6258</v>
      </c>
      <c r="I369" s="463" t="s">
        <v>1786</v>
      </c>
      <c r="J369" s="463" t="s">
        <v>69</v>
      </c>
      <c r="K369" s="139" t="s">
        <v>1787</v>
      </c>
      <c r="L369" s="140" t="s">
        <v>2</v>
      </c>
      <c r="M369" s="141" t="s">
        <v>1788</v>
      </c>
      <c r="N369" s="134" t="s">
        <v>1789</v>
      </c>
      <c r="O369" s="134" t="s">
        <v>1790</v>
      </c>
      <c r="P369" s="134" t="s">
        <v>69</v>
      </c>
      <c r="Q369" s="134" t="s">
        <v>69</v>
      </c>
      <c r="R369" s="140"/>
      <c r="S369" s="135"/>
      <c r="T369" s="135"/>
      <c r="V369" s="149"/>
      <c r="Y369" s="134"/>
      <c r="Z369" s="134"/>
    </row>
    <row r="370" spans="1:26" s="141" customFormat="1" x14ac:dyDescent="0.2">
      <c r="A370" s="141" t="s">
        <v>1791</v>
      </c>
      <c r="B370" s="134" t="s">
        <v>1792</v>
      </c>
      <c r="C370" s="135" t="s">
        <v>1720</v>
      </c>
      <c r="D370" s="136">
        <v>56.036222219999999</v>
      </c>
      <c r="E370" s="136">
        <v>69.338861109999996</v>
      </c>
      <c r="F370" s="137">
        <v>4641</v>
      </c>
      <c r="G370" s="138">
        <v>4723</v>
      </c>
      <c r="H370" s="138">
        <v>4558</v>
      </c>
      <c r="I370" s="463" t="s">
        <v>8</v>
      </c>
      <c r="J370" s="463" t="s">
        <v>69</v>
      </c>
      <c r="K370" s="139" t="s">
        <v>1793</v>
      </c>
      <c r="L370" s="140" t="s">
        <v>2</v>
      </c>
      <c r="M370" s="141" t="s">
        <v>1794</v>
      </c>
      <c r="N370" s="134" t="s">
        <v>69</v>
      </c>
      <c r="O370" s="134" t="s">
        <v>69</v>
      </c>
      <c r="P370" s="134" t="s">
        <v>69</v>
      </c>
      <c r="Q370" s="134" t="s">
        <v>69</v>
      </c>
      <c r="R370" s="140"/>
      <c r="S370" s="135"/>
      <c r="T370" s="135"/>
      <c r="V370" s="149"/>
      <c r="Y370" s="134"/>
      <c r="Z370" s="134"/>
    </row>
    <row r="371" spans="1:26" s="141" customFormat="1" x14ac:dyDescent="0.2">
      <c r="A371" s="141" t="s">
        <v>1267</v>
      </c>
      <c r="B371" s="134" t="s">
        <v>1795</v>
      </c>
      <c r="C371" s="135" t="s">
        <v>1720</v>
      </c>
      <c r="D371" s="136">
        <v>51.23</v>
      </c>
      <c r="E371" s="136">
        <v>39.299999999999997</v>
      </c>
      <c r="F371" s="137">
        <f>(G371+H371)/2</f>
        <v>30465</v>
      </c>
      <c r="G371" s="138">
        <v>31040</v>
      </c>
      <c r="H371" s="138">
        <v>29890</v>
      </c>
      <c r="I371" s="463" t="s">
        <v>1292</v>
      </c>
      <c r="J371" s="463" t="s">
        <v>863</v>
      </c>
      <c r="K371" s="139" t="s">
        <v>1702</v>
      </c>
      <c r="L371" s="140" t="s">
        <v>14</v>
      </c>
      <c r="M371" s="141" t="s">
        <v>1796</v>
      </c>
      <c r="N371" s="134" t="s">
        <v>69</v>
      </c>
      <c r="O371" s="134" t="s">
        <v>69</v>
      </c>
      <c r="P371" s="134" t="s">
        <v>69</v>
      </c>
      <c r="Q371" s="134" t="s">
        <v>69</v>
      </c>
      <c r="R371" s="140"/>
      <c r="S371" s="135"/>
      <c r="T371" s="135"/>
      <c r="V371" s="149"/>
      <c r="Y371" s="134"/>
      <c r="Z371" s="134"/>
    </row>
    <row r="372" spans="1:26" s="141" customFormat="1" x14ac:dyDescent="0.2">
      <c r="A372" s="141" t="s">
        <v>1731</v>
      </c>
      <c r="B372" s="134" t="s">
        <v>1732</v>
      </c>
      <c r="C372" s="135" t="s">
        <v>1720</v>
      </c>
      <c r="D372" s="136">
        <v>56.167000000000002</v>
      </c>
      <c r="E372" s="136">
        <v>40.5</v>
      </c>
      <c r="F372" s="137">
        <f>(G372+H372)/2</f>
        <v>32284</v>
      </c>
      <c r="G372" s="138">
        <v>33333</v>
      </c>
      <c r="H372" s="138">
        <v>31235</v>
      </c>
      <c r="I372" s="463" t="s">
        <v>1292</v>
      </c>
      <c r="J372" s="463" t="s">
        <v>147</v>
      </c>
      <c r="K372" s="139" t="s">
        <v>1733</v>
      </c>
      <c r="L372" s="140" t="s">
        <v>14</v>
      </c>
      <c r="M372" s="141" t="s">
        <v>1797</v>
      </c>
      <c r="N372" s="134" t="s">
        <v>1798</v>
      </c>
      <c r="O372" s="134" t="s">
        <v>1799</v>
      </c>
      <c r="P372" s="134" t="s">
        <v>1800</v>
      </c>
      <c r="Q372" s="134" t="s">
        <v>69</v>
      </c>
      <c r="R372" s="140"/>
      <c r="S372" s="135"/>
      <c r="T372" s="135"/>
      <c r="V372" s="149"/>
      <c r="Y372" s="134"/>
      <c r="Z372" s="134"/>
    </row>
    <row r="373" spans="1:26" s="141" customFormat="1" x14ac:dyDescent="0.2">
      <c r="A373" s="141" t="s">
        <v>1731</v>
      </c>
      <c r="B373" s="134" t="s">
        <v>1732</v>
      </c>
      <c r="C373" s="135" t="s">
        <v>1720</v>
      </c>
      <c r="D373" s="136">
        <v>56.167000000000002</v>
      </c>
      <c r="E373" s="136">
        <v>40.5</v>
      </c>
      <c r="F373" s="137">
        <f>(G373+H373)/2</f>
        <v>32142.5</v>
      </c>
      <c r="G373" s="138">
        <v>33204</v>
      </c>
      <c r="H373" s="138">
        <v>31081</v>
      </c>
      <c r="I373" s="463" t="s">
        <v>1292</v>
      </c>
      <c r="J373" s="463" t="s">
        <v>147</v>
      </c>
      <c r="K373" s="139" t="s">
        <v>1733</v>
      </c>
      <c r="L373" s="140" t="s">
        <v>14</v>
      </c>
      <c r="M373" s="141" t="s">
        <v>1801</v>
      </c>
      <c r="N373" s="134" t="s">
        <v>1802</v>
      </c>
      <c r="O373" s="134" t="s">
        <v>1803</v>
      </c>
      <c r="P373" s="134" t="s">
        <v>1804</v>
      </c>
      <c r="Q373" s="134" t="s">
        <v>1805</v>
      </c>
      <c r="R373" s="140"/>
      <c r="S373" s="135"/>
      <c r="T373" s="135"/>
      <c r="V373" s="149"/>
      <c r="Y373" s="134"/>
      <c r="Z373" s="134"/>
    </row>
    <row r="374" spans="1:26" s="141" customFormat="1" x14ac:dyDescent="0.2">
      <c r="A374" s="141" t="s">
        <v>1731</v>
      </c>
      <c r="B374" s="134" t="s">
        <v>1732</v>
      </c>
      <c r="C374" s="135" t="s">
        <v>1720</v>
      </c>
      <c r="D374" s="136">
        <v>56.167000000000002</v>
      </c>
      <c r="E374" s="136">
        <v>40.5</v>
      </c>
      <c r="F374" s="137">
        <f>(G374+H374)/2</f>
        <v>32042</v>
      </c>
      <c r="G374" s="138">
        <v>32535</v>
      </c>
      <c r="H374" s="138">
        <v>31549</v>
      </c>
      <c r="I374" s="463" t="s">
        <v>1292</v>
      </c>
      <c r="J374" s="463" t="s">
        <v>147</v>
      </c>
      <c r="K374" s="139" t="s">
        <v>1733</v>
      </c>
      <c r="L374" s="140" t="s">
        <v>14</v>
      </c>
      <c r="M374" s="141" t="s">
        <v>1806</v>
      </c>
      <c r="N374" s="134" t="s">
        <v>1807</v>
      </c>
      <c r="O374" s="134" t="s">
        <v>69</v>
      </c>
      <c r="P374" s="134" t="s">
        <v>69</v>
      </c>
      <c r="Q374" s="134" t="s">
        <v>69</v>
      </c>
      <c r="R374" s="140"/>
      <c r="S374" s="135"/>
      <c r="T374" s="135"/>
      <c r="V374" s="149"/>
      <c r="Y374" s="134"/>
      <c r="Z374" s="134"/>
    </row>
    <row r="375" spans="1:26" s="141" customFormat="1" x14ac:dyDescent="0.2">
      <c r="A375" s="141" t="s">
        <v>1761</v>
      </c>
      <c r="B375" s="134" t="s">
        <v>1762</v>
      </c>
      <c r="C375" s="135" t="s">
        <v>1720</v>
      </c>
      <c r="D375" s="136">
        <v>70.723611109999993</v>
      </c>
      <c r="E375" s="136">
        <v>135.41305556</v>
      </c>
      <c r="F375" s="137">
        <v>29670</v>
      </c>
      <c r="G375" s="138">
        <v>30087</v>
      </c>
      <c r="H375" s="138">
        <v>29361</v>
      </c>
      <c r="I375" s="463" t="s">
        <v>1526</v>
      </c>
      <c r="J375" s="463" t="s">
        <v>1808</v>
      </c>
      <c r="K375" s="139" t="s">
        <v>1809</v>
      </c>
      <c r="L375" s="140" t="s">
        <v>14</v>
      </c>
      <c r="M375" s="141" t="s">
        <v>1810</v>
      </c>
      <c r="N375" s="134" t="s">
        <v>69</v>
      </c>
      <c r="O375" s="134" t="s">
        <v>69</v>
      </c>
      <c r="P375" s="134" t="s">
        <v>69</v>
      </c>
      <c r="Q375" s="134" t="s">
        <v>69</v>
      </c>
      <c r="R375" s="140"/>
      <c r="S375" s="135"/>
      <c r="T375" s="135"/>
      <c r="V375" s="149"/>
      <c r="Y375" s="134"/>
      <c r="Z375" s="134"/>
    </row>
    <row r="376" spans="1:26" s="141" customFormat="1" x14ac:dyDescent="0.2">
      <c r="A376" s="141" t="s">
        <v>1761</v>
      </c>
      <c r="B376" s="134" t="s">
        <v>1762</v>
      </c>
      <c r="C376" s="135" t="s">
        <v>1720</v>
      </c>
      <c r="D376" s="136">
        <v>70.723611109999993</v>
      </c>
      <c r="E376" s="136">
        <v>135.41305556</v>
      </c>
      <c r="F376" s="137">
        <v>29670</v>
      </c>
      <c r="G376" s="138">
        <v>30087</v>
      </c>
      <c r="H376" s="138">
        <v>29361</v>
      </c>
      <c r="I376" s="463" t="s">
        <v>1526</v>
      </c>
      <c r="J376" s="463" t="s">
        <v>1808</v>
      </c>
      <c r="K376" s="139" t="s">
        <v>1809</v>
      </c>
      <c r="L376" s="140" t="s">
        <v>14</v>
      </c>
      <c r="M376" s="141" t="s">
        <v>1811</v>
      </c>
      <c r="N376" s="134" t="s">
        <v>69</v>
      </c>
      <c r="O376" s="134" t="s">
        <v>69</v>
      </c>
      <c r="P376" s="134" t="s">
        <v>69</v>
      </c>
      <c r="Q376" s="134" t="s">
        <v>69</v>
      </c>
      <c r="R376" s="140"/>
      <c r="S376" s="135"/>
      <c r="T376" s="135"/>
      <c r="V376" s="149"/>
      <c r="Y376" s="134"/>
      <c r="Z376" s="134"/>
    </row>
    <row r="377" spans="1:26" s="141" customFormat="1" x14ac:dyDescent="0.2">
      <c r="A377" s="141" t="s">
        <v>1735</v>
      </c>
      <c r="B377" s="134" t="s">
        <v>1736</v>
      </c>
      <c r="C377" s="135" t="s">
        <v>1720</v>
      </c>
      <c r="D377" s="136">
        <v>62.046435908474997</v>
      </c>
      <c r="E377" s="136">
        <v>35.363776353407602</v>
      </c>
      <c r="F377" s="137">
        <v>5300</v>
      </c>
      <c r="G377" s="138">
        <v>5550</v>
      </c>
      <c r="H377" s="138">
        <v>5050</v>
      </c>
      <c r="I377" s="463" t="s">
        <v>1435</v>
      </c>
      <c r="J377" s="463" t="s">
        <v>69</v>
      </c>
      <c r="K377" s="139" t="s">
        <v>1738</v>
      </c>
      <c r="L377" s="140" t="s">
        <v>69</v>
      </c>
      <c r="M377" s="141" t="s">
        <v>1812</v>
      </c>
      <c r="N377" s="134" t="s">
        <v>69</v>
      </c>
      <c r="O377" s="134" t="s">
        <v>69</v>
      </c>
      <c r="P377" s="134" t="s">
        <v>69</v>
      </c>
      <c r="Q377" s="134" t="s">
        <v>69</v>
      </c>
      <c r="R377" s="140"/>
      <c r="S377" s="135"/>
      <c r="T377" s="135"/>
      <c r="V377" s="149"/>
      <c r="Y377" s="134"/>
      <c r="Z377" s="134"/>
    </row>
    <row r="378" spans="1:26" s="141" customFormat="1" x14ac:dyDescent="0.2">
      <c r="A378" s="141" t="s">
        <v>1735</v>
      </c>
      <c r="B378" s="134" t="s">
        <v>1736</v>
      </c>
      <c r="C378" s="135" t="s">
        <v>1720</v>
      </c>
      <c r="D378" s="136">
        <v>62.046435908474997</v>
      </c>
      <c r="E378" s="136">
        <v>35.363776353407602</v>
      </c>
      <c r="F378" s="137">
        <v>5300</v>
      </c>
      <c r="G378" s="138">
        <v>5550</v>
      </c>
      <c r="H378" s="138">
        <v>5050</v>
      </c>
      <c r="I378" s="463" t="s">
        <v>1435</v>
      </c>
      <c r="J378" s="463" t="s">
        <v>69</v>
      </c>
      <c r="K378" s="139" t="s">
        <v>1738</v>
      </c>
      <c r="L378" s="140" t="s">
        <v>69</v>
      </c>
      <c r="M378" s="141" t="s">
        <v>1813</v>
      </c>
      <c r="N378" s="134" t="s">
        <v>69</v>
      </c>
      <c r="O378" s="134" t="s">
        <v>69</v>
      </c>
      <c r="P378" s="134" t="s">
        <v>69</v>
      </c>
      <c r="Q378" s="134" t="s">
        <v>69</v>
      </c>
      <c r="R378" s="140"/>
      <c r="S378" s="135"/>
      <c r="T378" s="135"/>
      <c r="V378" s="149"/>
      <c r="Y378" s="134"/>
      <c r="Z378" s="134"/>
    </row>
    <row r="379" spans="1:26" s="141" customFormat="1" x14ac:dyDescent="0.2">
      <c r="A379" s="141" t="s">
        <v>1791</v>
      </c>
      <c r="B379" s="134" t="s">
        <v>1792</v>
      </c>
      <c r="C379" s="135" t="s">
        <v>1720</v>
      </c>
      <c r="D379" s="136">
        <v>56.036222219999999</v>
      </c>
      <c r="E379" s="136">
        <v>69.338861109999996</v>
      </c>
      <c r="F379" s="137">
        <v>6216</v>
      </c>
      <c r="G379" s="138">
        <v>6361</v>
      </c>
      <c r="H379" s="138">
        <v>6071</v>
      </c>
      <c r="I379" s="463" t="s">
        <v>1814</v>
      </c>
      <c r="J379" s="463" t="s">
        <v>69</v>
      </c>
      <c r="K379" s="139" t="s">
        <v>1793</v>
      </c>
      <c r="L379" s="140" t="s">
        <v>2</v>
      </c>
      <c r="M379" s="141" t="s">
        <v>1815</v>
      </c>
      <c r="N379" s="134" t="s">
        <v>69</v>
      </c>
      <c r="O379" s="134" t="s">
        <v>69</v>
      </c>
      <c r="P379" s="134" t="s">
        <v>69</v>
      </c>
      <c r="Q379" s="134" t="s">
        <v>69</v>
      </c>
      <c r="R379" s="140"/>
      <c r="S379" s="135"/>
      <c r="T379" s="135"/>
      <c r="V379" s="149"/>
      <c r="Y379" s="134"/>
      <c r="Z379" s="134"/>
    </row>
    <row r="380" spans="1:26" s="141" customFormat="1" x14ac:dyDescent="0.2">
      <c r="A380" s="141" t="s">
        <v>1735</v>
      </c>
      <c r="B380" s="134" t="s">
        <v>1816</v>
      </c>
      <c r="C380" s="135" t="s">
        <v>1720</v>
      </c>
      <c r="D380" s="136">
        <v>61.264316564432697</v>
      </c>
      <c r="E380" s="136">
        <v>38.905163497689202</v>
      </c>
      <c r="F380" s="137">
        <v>6550</v>
      </c>
      <c r="G380" s="138">
        <v>7550</v>
      </c>
      <c r="H380" s="138">
        <v>5550</v>
      </c>
      <c r="I380" s="463" t="s">
        <v>162</v>
      </c>
      <c r="J380" s="463" t="s">
        <v>69</v>
      </c>
      <c r="K380" s="139" t="s">
        <v>1738</v>
      </c>
      <c r="L380" s="140" t="s">
        <v>69</v>
      </c>
      <c r="M380" s="141" t="s">
        <v>1817</v>
      </c>
      <c r="N380" s="134" t="s">
        <v>69</v>
      </c>
      <c r="O380" s="134" t="s">
        <v>69</v>
      </c>
      <c r="P380" s="134" t="s">
        <v>69</v>
      </c>
      <c r="Q380" s="134" t="s">
        <v>69</v>
      </c>
      <c r="R380" s="140"/>
      <c r="S380" s="135"/>
      <c r="T380" s="135"/>
      <c r="V380" s="149"/>
      <c r="Y380" s="134"/>
      <c r="Z380" s="134"/>
    </row>
    <row r="381" spans="1:26" s="141" customFormat="1" x14ac:dyDescent="0.2">
      <c r="A381" s="141" t="s">
        <v>1735</v>
      </c>
      <c r="B381" s="134" t="s">
        <v>1736</v>
      </c>
      <c r="C381" s="135" t="s">
        <v>1720</v>
      </c>
      <c r="D381" s="136">
        <v>62.046435908474997</v>
      </c>
      <c r="E381" s="136">
        <v>35.363776353407602</v>
      </c>
      <c r="F381" s="137">
        <v>5300</v>
      </c>
      <c r="G381" s="138">
        <v>5550</v>
      </c>
      <c r="H381" s="138">
        <v>5050</v>
      </c>
      <c r="I381" s="463" t="s">
        <v>162</v>
      </c>
      <c r="J381" s="463" t="s">
        <v>69</v>
      </c>
      <c r="K381" s="139" t="s">
        <v>1738</v>
      </c>
      <c r="L381" s="140" t="s">
        <v>69</v>
      </c>
      <c r="M381" s="141" t="s">
        <v>1818</v>
      </c>
      <c r="N381" s="134" t="s">
        <v>69</v>
      </c>
      <c r="O381" s="134" t="s">
        <v>69</v>
      </c>
      <c r="P381" s="134" t="s">
        <v>69</v>
      </c>
      <c r="Q381" s="134" t="s">
        <v>69</v>
      </c>
      <c r="R381" s="140"/>
      <c r="S381" s="135"/>
      <c r="T381" s="135"/>
      <c r="V381" s="149"/>
      <c r="Y381" s="134"/>
      <c r="Z381" s="134"/>
    </row>
    <row r="382" spans="1:26" s="141" customFormat="1" x14ac:dyDescent="0.2">
      <c r="A382" s="141" t="s">
        <v>1819</v>
      </c>
      <c r="B382" s="134" t="s">
        <v>1736</v>
      </c>
      <c r="C382" s="135" t="s">
        <v>1720</v>
      </c>
      <c r="D382" s="136">
        <v>62.046435908474997</v>
      </c>
      <c r="E382" s="136">
        <v>35.363776353407602</v>
      </c>
      <c r="F382" s="137">
        <f>(G382+H382)/2</f>
        <v>6329.5</v>
      </c>
      <c r="G382" s="138">
        <v>6773</v>
      </c>
      <c r="H382" s="138">
        <v>5886</v>
      </c>
      <c r="I382" s="463" t="s">
        <v>1347</v>
      </c>
      <c r="J382" s="463" t="s">
        <v>34</v>
      </c>
      <c r="K382" s="139" t="s">
        <v>1743</v>
      </c>
      <c r="L382" s="140" t="s">
        <v>14</v>
      </c>
      <c r="M382" s="141" t="s">
        <v>1820</v>
      </c>
      <c r="N382" s="134" t="s">
        <v>1821</v>
      </c>
      <c r="O382" s="134" t="s">
        <v>69</v>
      </c>
      <c r="P382" s="134" t="s">
        <v>69</v>
      </c>
      <c r="Q382" s="134" t="s">
        <v>69</v>
      </c>
      <c r="R382" s="140"/>
      <c r="S382" s="135"/>
      <c r="T382" s="135"/>
      <c r="V382" s="149"/>
      <c r="Y382" s="134"/>
      <c r="Z382" s="134"/>
    </row>
    <row r="383" spans="1:26" s="141" customFormat="1" x14ac:dyDescent="0.2">
      <c r="A383" s="141" t="s">
        <v>1822</v>
      </c>
      <c r="B383" s="134" t="s">
        <v>1823</v>
      </c>
      <c r="C383" s="135" t="s">
        <v>1720</v>
      </c>
      <c r="D383" s="136">
        <v>61.231203614108402</v>
      </c>
      <c r="E383" s="136">
        <v>38.909329900123304</v>
      </c>
      <c r="F383" s="137">
        <v>10705.5</v>
      </c>
      <c r="G383" s="138">
        <v>10785</v>
      </c>
      <c r="H383" s="138">
        <v>10626</v>
      </c>
      <c r="I383" s="463" t="s">
        <v>1579</v>
      </c>
      <c r="J383" s="463" t="s">
        <v>1824</v>
      </c>
      <c r="K383" s="139" t="s">
        <v>1825</v>
      </c>
      <c r="L383" s="140" t="s">
        <v>14</v>
      </c>
      <c r="M383" s="141" t="s">
        <v>1826</v>
      </c>
      <c r="N383" s="134" t="s">
        <v>69</v>
      </c>
      <c r="O383" s="134" t="s">
        <v>69</v>
      </c>
      <c r="P383" s="134" t="s">
        <v>69</v>
      </c>
      <c r="Q383" s="134" t="s">
        <v>69</v>
      </c>
      <c r="R383" s="140"/>
      <c r="S383" s="135"/>
      <c r="T383" s="135"/>
      <c r="V383" s="149"/>
      <c r="Y383" s="134"/>
      <c r="Z383" s="134"/>
    </row>
    <row r="384" spans="1:26" s="141" customFormat="1" x14ac:dyDescent="0.2">
      <c r="A384" s="141" t="s">
        <v>1612</v>
      </c>
      <c r="B384" s="134" t="s">
        <v>1816</v>
      </c>
      <c r="C384" s="135" t="s">
        <v>1720</v>
      </c>
      <c r="D384" s="136">
        <v>61.264316564432697</v>
      </c>
      <c r="E384" s="136">
        <v>38.905163497689202</v>
      </c>
      <c r="F384" s="137">
        <f>(G384+H384)/2</f>
        <v>6250</v>
      </c>
      <c r="G384" s="138">
        <v>7500</v>
      </c>
      <c r="H384" s="138">
        <v>5000</v>
      </c>
      <c r="I384" s="463" t="s">
        <v>1827</v>
      </c>
      <c r="J384" s="463" t="s">
        <v>69</v>
      </c>
      <c r="K384" s="139" t="s">
        <v>1696</v>
      </c>
      <c r="L384" s="140" t="s">
        <v>14</v>
      </c>
      <c r="M384" s="141" t="s">
        <v>1828</v>
      </c>
      <c r="N384" s="134" t="s">
        <v>69</v>
      </c>
      <c r="O384" s="134" t="s">
        <v>69</v>
      </c>
      <c r="P384" s="134" t="s">
        <v>69</v>
      </c>
      <c r="Q384" s="134" t="s">
        <v>69</v>
      </c>
      <c r="R384" s="140"/>
      <c r="S384" s="135"/>
      <c r="T384" s="135"/>
      <c r="V384" s="149"/>
      <c r="Y384" s="134"/>
      <c r="Z384" s="134"/>
    </row>
    <row r="385" spans="1:26" s="141" customFormat="1" x14ac:dyDescent="0.2">
      <c r="A385" s="141" t="s">
        <v>1419</v>
      </c>
      <c r="B385" s="134" t="s">
        <v>1829</v>
      </c>
      <c r="C385" s="135" t="s">
        <v>1720</v>
      </c>
      <c r="D385" s="136" t="s">
        <v>69</v>
      </c>
      <c r="E385" s="136" t="s">
        <v>69</v>
      </c>
      <c r="F385" s="137">
        <v>7800</v>
      </c>
      <c r="G385" s="138" t="s">
        <v>69</v>
      </c>
      <c r="H385" s="138" t="s">
        <v>69</v>
      </c>
      <c r="I385" s="463" t="s">
        <v>62</v>
      </c>
      <c r="J385" s="463" t="s">
        <v>69</v>
      </c>
      <c r="K385" s="139" t="s">
        <v>1830</v>
      </c>
      <c r="L385" s="140" t="s">
        <v>69</v>
      </c>
      <c r="M385" s="141" t="s">
        <v>1831</v>
      </c>
      <c r="N385" s="134" t="s">
        <v>1832</v>
      </c>
      <c r="O385" s="134" t="s">
        <v>1833</v>
      </c>
      <c r="P385" s="134" t="s">
        <v>69</v>
      </c>
      <c r="Q385" s="134" t="s">
        <v>69</v>
      </c>
      <c r="R385" s="140"/>
      <c r="S385" s="135"/>
      <c r="T385" s="135"/>
      <c r="V385" s="149"/>
      <c r="Y385" s="134"/>
      <c r="Z385" s="134"/>
    </row>
    <row r="386" spans="1:26" s="141" customFormat="1" x14ac:dyDescent="0.2">
      <c r="A386" s="141" t="s">
        <v>1735</v>
      </c>
      <c r="B386" s="134" t="s">
        <v>1736</v>
      </c>
      <c r="C386" s="135" t="s">
        <v>1720</v>
      </c>
      <c r="D386" s="136">
        <v>62.046435908474997</v>
      </c>
      <c r="E386" s="136">
        <v>35.363776353407602</v>
      </c>
      <c r="F386" s="137">
        <v>5300</v>
      </c>
      <c r="G386" s="138">
        <v>5550</v>
      </c>
      <c r="H386" s="138">
        <v>5050</v>
      </c>
      <c r="I386" s="463" t="s">
        <v>62</v>
      </c>
      <c r="J386" s="463" t="s">
        <v>69</v>
      </c>
      <c r="K386" s="139" t="s">
        <v>1738</v>
      </c>
      <c r="L386" s="140" t="s">
        <v>69</v>
      </c>
      <c r="M386" s="141" t="s">
        <v>1834</v>
      </c>
      <c r="N386" s="134" t="s">
        <v>69</v>
      </c>
      <c r="O386" s="134" t="s">
        <v>69</v>
      </c>
      <c r="P386" s="134" t="s">
        <v>69</v>
      </c>
      <c r="Q386" s="134" t="s">
        <v>69</v>
      </c>
      <c r="R386" s="140"/>
      <c r="S386" s="135"/>
      <c r="T386" s="135"/>
      <c r="V386" s="149"/>
      <c r="Y386" s="134"/>
      <c r="Z386" s="134"/>
    </row>
    <row r="387" spans="1:26" s="141" customFormat="1" x14ac:dyDescent="0.2">
      <c r="A387" s="141" t="s">
        <v>1741</v>
      </c>
      <c r="B387" s="134" t="s">
        <v>1835</v>
      </c>
      <c r="C387" s="135" t="s">
        <v>1720</v>
      </c>
      <c r="D387" s="136">
        <v>53.4</v>
      </c>
      <c r="E387" s="136">
        <v>50.4</v>
      </c>
      <c r="F387" s="137">
        <f>(G387+H387)/2</f>
        <v>5599</v>
      </c>
      <c r="G387" s="138">
        <v>5657</v>
      </c>
      <c r="H387" s="138">
        <v>5541</v>
      </c>
      <c r="I387" s="463" t="s">
        <v>1591</v>
      </c>
      <c r="J387" s="463" t="s">
        <v>1836</v>
      </c>
      <c r="K387" s="139" t="s">
        <v>1837</v>
      </c>
      <c r="L387" s="140" t="s">
        <v>14</v>
      </c>
      <c r="M387" s="141" t="s">
        <v>1838</v>
      </c>
      <c r="N387" s="134" t="s">
        <v>1839</v>
      </c>
      <c r="O387" s="134" t="s">
        <v>69</v>
      </c>
      <c r="P387" s="134" t="s">
        <v>69</v>
      </c>
      <c r="Q387" s="134" t="s">
        <v>69</v>
      </c>
      <c r="R387" s="140"/>
      <c r="S387" s="135"/>
      <c r="T387" s="135"/>
      <c r="V387" s="149"/>
      <c r="Y387" s="134"/>
      <c r="Z387" s="134"/>
    </row>
    <row r="388" spans="1:26" s="141" customFormat="1" x14ac:dyDescent="0.2">
      <c r="A388" s="141" t="s">
        <v>1840</v>
      </c>
      <c r="B388" s="134" t="s">
        <v>1841</v>
      </c>
      <c r="C388" s="135" t="s">
        <v>1720</v>
      </c>
      <c r="D388" s="136">
        <v>54.54</v>
      </c>
      <c r="E388" s="136">
        <v>51.12</v>
      </c>
      <c r="F388" s="137">
        <f>(G388+H388)/2</f>
        <v>9300</v>
      </c>
      <c r="G388" s="138">
        <v>9550</v>
      </c>
      <c r="H388" s="138">
        <v>9050</v>
      </c>
      <c r="I388" s="463" t="s">
        <v>622</v>
      </c>
      <c r="J388" s="463" t="s">
        <v>69</v>
      </c>
      <c r="K388" s="139" t="s">
        <v>1363</v>
      </c>
      <c r="L388" s="140" t="s">
        <v>69</v>
      </c>
      <c r="M388" s="141" t="s">
        <v>1841</v>
      </c>
      <c r="N388" s="134" t="s">
        <v>1842</v>
      </c>
      <c r="O388" s="134" t="s">
        <v>69</v>
      </c>
      <c r="P388" s="134" t="s">
        <v>69</v>
      </c>
      <c r="Q388" s="134" t="s">
        <v>69</v>
      </c>
      <c r="R388" s="140"/>
      <c r="S388" s="135"/>
      <c r="T388" s="135"/>
      <c r="V388" s="149"/>
      <c r="Y388" s="134"/>
      <c r="Z388" s="134"/>
    </row>
    <row r="389" spans="1:26" s="141" customFormat="1" x14ac:dyDescent="0.2">
      <c r="A389" s="141" t="s">
        <v>1791</v>
      </c>
      <c r="B389" s="134" t="s">
        <v>1843</v>
      </c>
      <c r="C389" s="135" t="s">
        <v>1720</v>
      </c>
      <c r="D389" s="136">
        <v>57.358888890000003</v>
      </c>
      <c r="E389" s="136">
        <v>65.364999999999995</v>
      </c>
      <c r="F389" s="137">
        <v>4107</v>
      </c>
      <c r="G389" s="138">
        <v>4230</v>
      </c>
      <c r="H389" s="138">
        <v>3983</v>
      </c>
      <c r="I389" s="463" t="s">
        <v>1844</v>
      </c>
      <c r="J389" s="463" t="s">
        <v>69</v>
      </c>
      <c r="K389" s="139" t="s">
        <v>1793</v>
      </c>
      <c r="L389" s="140" t="s">
        <v>2</v>
      </c>
      <c r="M389" s="141" t="s">
        <v>1845</v>
      </c>
      <c r="N389" s="134" t="s">
        <v>69</v>
      </c>
      <c r="O389" s="134" t="s">
        <v>69</v>
      </c>
      <c r="P389" s="134" t="s">
        <v>69</v>
      </c>
      <c r="Q389" s="134" t="s">
        <v>69</v>
      </c>
      <c r="R389" s="140"/>
      <c r="S389" s="135"/>
      <c r="T389" s="135"/>
      <c r="V389" s="149"/>
      <c r="Y389" s="134"/>
      <c r="Z389" s="134"/>
    </row>
    <row r="390" spans="1:26" s="141" customFormat="1" x14ac:dyDescent="0.2">
      <c r="A390" s="141" t="s">
        <v>1731</v>
      </c>
      <c r="B390" s="134" t="s">
        <v>1732</v>
      </c>
      <c r="C390" s="135" t="s">
        <v>1720</v>
      </c>
      <c r="D390" s="136">
        <v>56.167000000000002</v>
      </c>
      <c r="E390" s="136">
        <v>40.5</v>
      </c>
      <c r="F390" s="137">
        <f>(G390+H390)/2</f>
        <v>30872.5</v>
      </c>
      <c r="G390" s="137">
        <v>31925</v>
      </c>
      <c r="H390" s="137">
        <v>29820</v>
      </c>
      <c r="I390" s="463" t="s">
        <v>1331</v>
      </c>
      <c r="J390" s="463" t="s">
        <v>147</v>
      </c>
      <c r="K390" s="139" t="s">
        <v>1733</v>
      </c>
      <c r="L390" s="140" t="s">
        <v>14</v>
      </c>
      <c r="M390" s="141" t="s">
        <v>1846</v>
      </c>
      <c r="N390" s="134" t="s">
        <v>1847</v>
      </c>
      <c r="O390" s="134" t="s">
        <v>1848</v>
      </c>
      <c r="P390" s="134" t="s">
        <v>1849</v>
      </c>
      <c r="Q390" s="134" t="s">
        <v>69</v>
      </c>
      <c r="R390" s="140"/>
      <c r="S390" s="135"/>
      <c r="T390" s="135"/>
      <c r="V390" s="149"/>
      <c r="Y390" s="134"/>
      <c r="Z390" s="134"/>
    </row>
    <row r="391" spans="1:26" s="152" customFormat="1" x14ac:dyDescent="0.2">
      <c r="A391" s="152" t="s">
        <v>2378</v>
      </c>
      <c r="B391" s="139" t="s">
        <v>2376</v>
      </c>
      <c r="C391" s="153" t="s">
        <v>1720</v>
      </c>
      <c r="D391" s="151">
        <v>59.377988012638902</v>
      </c>
      <c r="E391" s="151">
        <v>39.462890625</v>
      </c>
      <c r="F391" s="154">
        <v>5601</v>
      </c>
      <c r="G391" s="154">
        <f>F391-100</f>
        <v>5501</v>
      </c>
      <c r="H391" s="154">
        <f>F391+100</f>
        <v>5701</v>
      </c>
      <c r="I391" s="470" t="s">
        <v>4310</v>
      </c>
      <c r="J391" s="470" t="s">
        <v>69</v>
      </c>
      <c r="K391" s="139" t="s">
        <v>2391</v>
      </c>
      <c r="L391" s="154"/>
      <c r="M391" s="152" t="s">
        <v>2381</v>
      </c>
      <c r="N391" s="139"/>
      <c r="O391" s="139"/>
      <c r="P391" s="139"/>
      <c r="Q391" s="139"/>
      <c r="R391" s="505" t="s">
        <v>4311</v>
      </c>
      <c r="S391" s="153"/>
      <c r="T391" s="153"/>
      <c r="V391" s="155"/>
      <c r="Y391" s="139"/>
      <c r="Z391" s="139"/>
    </row>
    <row r="392" spans="1:26" s="141" customFormat="1" x14ac:dyDescent="0.2">
      <c r="A392" s="141" t="s">
        <v>2378</v>
      </c>
      <c r="B392" s="134" t="s">
        <v>2376</v>
      </c>
      <c r="C392" s="135" t="s">
        <v>1720</v>
      </c>
      <c r="D392" s="136">
        <v>59.377988012638902</v>
      </c>
      <c r="E392" s="136">
        <v>39.462890625</v>
      </c>
      <c r="F392" s="154">
        <v>8000</v>
      </c>
      <c r="G392" s="154">
        <v>9000</v>
      </c>
      <c r="H392" s="154">
        <v>7000</v>
      </c>
      <c r="I392" s="463" t="s">
        <v>162</v>
      </c>
      <c r="J392" s="463" t="s">
        <v>69</v>
      </c>
      <c r="K392" s="139" t="s">
        <v>2391</v>
      </c>
      <c r="L392" s="140"/>
      <c r="M392" s="141" t="s">
        <v>2382</v>
      </c>
      <c r="N392" s="134"/>
      <c r="O392" s="134"/>
      <c r="P392" s="134"/>
      <c r="Q392" s="134"/>
      <c r="R392" s="134"/>
      <c r="S392" s="135"/>
      <c r="T392" s="135"/>
      <c r="V392" s="149"/>
      <c r="Y392" s="134"/>
      <c r="Z392" s="134"/>
    </row>
    <row r="393" spans="1:26" s="141" customFormat="1" x14ac:dyDescent="0.2">
      <c r="A393" s="141" t="s">
        <v>2378</v>
      </c>
      <c r="B393" s="134" t="s">
        <v>2376</v>
      </c>
      <c r="C393" s="135" t="s">
        <v>1720</v>
      </c>
      <c r="D393" s="136">
        <v>59.377988012638902</v>
      </c>
      <c r="E393" s="136">
        <v>39.462890625</v>
      </c>
      <c r="F393" s="154">
        <v>8723</v>
      </c>
      <c r="G393" s="154">
        <f>F393-100</f>
        <v>8623</v>
      </c>
      <c r="H393" s="154">
        <f>F393+100</f>
        <v>8823</v>
      </c>
      <c r="I393" s="463" t="s">
        <v>1347</v>
      </c>
      <c r="J393" s="463" t="s">
        <v>69</v>
      </c>
      <c r="K393" s="139" t="s">
        <v>2391</v>
      </c>
      <c r="L393" s="140"/>
      <c r="M393" s="141" t="s">
        <v>2383</v>
      </c>
      <c r="N393" s="134"/>
      <c r="O393" s="134"/>
      <c r="P393" s="134"/>
      <c r="Q393" s="134"/>
      <c r="R393" s="134"/>
      <c r="S393" s="135"/>
      <c r="T393" s="135"/>
      <c r="V393" s="149"/>
      <c r="Y393" s="134"/>
      <c r="Z393" s="134"/>
    </row>
    <row r="394" spans="1:26" s="141" customFormat="1" x14ac:dyDescent="0.2">
      <c r="A394" s="141" t="s">
        <v>2312</v>
      </c>
      <c r="B394" s="134" t="s">
        <v>2376</v>
      </c>
      <c r="C394" s="135" t="s">
        <v>1720</v>
      </c>
      <c r="D394" s="136">
        <v>59.377988012638902</v>
      </c>
      <c r="E394" s="136">
        <v>39.462890625</v>
      </c>
      <c r="F394" s="137">
        <f>(G394+H394)/2</f>
        <v>5125</v>
      </c>
      <c r="G394" s="138">
        <v>5650</v>
      </c>
      <c r="H394" s="138">
        <v>4600</v>
      </c>
      <c r="I394" s="463" t="s">
        <v>1827</v>
      </c>
      <c r="J394" s="463" t="s">
        <v>69</v>
      </c>
      <c r="K394" s="139" t="s">
        <v>2391</v>
      </c>
      <c r="L394" s="140"/>
      <c r="M394" s="141" t="s">
        <v>2384</v>
      </c>
      <c r="N394" s="134"/>
      <c r="O394" s="134"/>
      <c r="P394" s="134"/>
      <c r="Q394" s="134"/>
      <c r="R394" s="134"/>
      <c r="S394" s="135"/>
      <c r="T394" s="135"/>
      <c r="V394" s="149"/>
      <c r="Y394" s="134"/>
      <c r="Z394" s="134"/>
    </row>
    <row r="395" spans="1:26" s="141" customFormat="1" x14ac:dyDescent="0.2">
      <c r="A395" s="141" t="s">
        <v>2312</v>
      </c>
      <c r="B395" s="134" t="s">
        <v>2376</v>
      </c>
      <c r="C395" s="135" t="s">
        <v>1720</v>
      </c>
      <c r="D395" s="136">
        <v>59.377988012638902</v>
      </c>
      <c r="E395" s="136">
        <v>39.462890625</v>
      </c>
      <c r="F395" s="137">
        <f t="shared" ref="F395:F399" si="21">(G395+H395)/2</f>
        <v>8358.5</v>
      </c>
      <c r="G395" s="138">
        <f>8671+48</f>
        <v>8719</v>
      </c>
      <c r="H395" s="138">
        <f>8092-94</f>
        <v>7998</v>
      </c>
      <c r="I395" s="463" t="s">
        <v>1579</v>
      </c>
      <c r="J395" s="463" t="s">
        <v>69</v>
      </c>
      <c r="K395" s="139" t="s">
        <v>2391</v>
      </c>
      <c r="L395" s="140"/>
      <c r="M395" s="141" t="s">
        <v>2385</v>
      </c>
      <c r="N395" s="134"/>
      <c r="O395" s="134"/>
      <c r="P395" s="134"/>
      <c r="Q395" s="134"/>
      <c r="R395" s="134"/>
      <c r="S395" s="135"/>
      <c r="T395" s="135"/>
      <c r="V395" s="149"/>
      <c r="Y395" s="134"/>
      <c r="Z395" s="134"/>
    </row>
    <row r="396" spans="1:26" s="141" customFormat="1" x14ac:dyDescent="0.2">
      <c r="A396" s="141" t="s">
        <v>2312</v>
      </c>
      <c r="B396" s="134" t="s">
        <v>2376</v>
      </c>
      <c r="C396" s="135" t="s">
        <v>1720</v>
      </c>
      <c r="D396" s="136">
        <v>59.377988012638902</v>
      </c>
      <c r="E396" s="136">
        <v>39.462890625</v>
      </c>
      <c r="F396" s="137">
        <f t="shared" si="21"/>
        <v>8000</v>
      </c>
      <c r="G396" s="138">
        <v>9000</v>
      </c>
      <c r="H396" s="138">
        <v>7000</v>
      </c>
      <c r="I396" s="463" t="s">
        <v>1620</v>
      </c>
      <c r="J396" s="463" t="s">
        <v>69</v>
      </c>
      <c r="K396" s="139" t="s">
        <v>2391</v>
      </c>
      <c r="L396" s="140"/>
      <c r="M396" s="141" t="s">
        <v>2386</v>
      </c>
      <c r="N396" s="134"/>
      <c r="O396" s="134"/>
      <c r="P396" s="134"/>
      <c r="Q396" s="134"/>
      <c r="R396" s="134" t="s">
        <v>2390</v>
      </c>
      <c r="S396" s="135"/>
      <c r="T396" s="135"/>
      <c r="V396" s="149"/>
      <c r="Y396" s="134"/>
      <c r="Z396" s="134"/>
    </row>
    <row r="397" spans="1:26" s="141" customFormat="1" x14ac:dyDescent="0.2">
      <c r="A397" s="141" t="s">
        <v>2312</v>
      </c>
      <c r="B397" s="134" t="s">
        <v>2376</v>
      </c>
      <c r="C397" s="135" t="s">
        <v>1720</v>
      </c>
      <c r="D397" s="136">
        <v>59.377988012638902</v>
      </c>
      <c r="E397" s="136">
        <v>39.462890625</v>
      </c>
      <c r="F397" s="137">
        <f t="shared" si="21"/>
        <v>8580</v>
      </c>
      <c r="G397" s="138">
        <v>8740</v>
      </c>
      <c r="H397" s="138">
        <v>8420</v>
      </c>
      <c r="I397" s="463" t="s">
        <v>1620</v>
      </c>
      <c r="J397" s="463" t="s">
        <v>69</v>
      </c>
      <c r="K397" s="139" t="s">
        <v>2391</v>
      </c>
      <c r="L397" s="140"/>
      <c r="M397" s="141" t="s">
        <v>2387</v>
      </c>
      <c r="N397" s="134"/>
      <c r="O397" s="134"/>
      <c r="P397" s="134"/>
      <c r="Q397" s="134"/>
      <c r="R397" s="134"/>
      <c r="S397" s="135"/>
      <c r="T397" s="135"/>
      <c r="V397" s="149"/>
      <c r="Y397" s="134"/>
      <c r="Z397" s="134"/>
    </row>
    <row r="398" spans="1:26" s="141" customFormat="1" x14ac:dyDescent="0.2">
      <c r="A398" s="141" t="s">
        <v>2312</v>
      </c>
      <c r="B398" s="134" t="s">
        <v>2376</v>
      </c>
      <c r="C398" s="135" t="s">
        <v>1720</v>
      </c>
      <c r="D398" s="136">
        <v>59.377988012638902</v>
      </c>
      <c r="E398" s="136">
        <v>39.462890625</v>
      </c>
      <c r="F398" s="137">
        <f t="shared" si="21"/>
        <v>6125</v>
      </c>
      <c r="G398" s="138">
        <v>6450</v>
      </c>
      <c r="H398" s="138">
        <v>5800</v>
      </c>
      <c r="I398" s="463" t="s">
        <v>1579</v>
      </c>
      <c r="J398" s="463" t="s">
        <v>69</v>
      </c>
      <c r="K398" s="139" t="s">
        <v>2391</v>
      </c>
      <c r="L398" s="140"/>
      <c r="M398" s="141" t="s">
        <v>2389</v>
      </c>
      <c r="N398" s="134"/>
      <c r="O398" s="134"/>
      <c r="P398" s="134"/>
      <c r="Q398" s="134"/>
      <c r="R398" s="134"/>
      <c r="S398" s="135"/>
      <c r="T398" s="135"/>
      <c r="V398" s="149"/>
      <c r="Y398" s="134"/>
      <c r="Z398" s="134"/>
    </row>
    <row r="399" spans="1:26" s="141" customFormat="1" x14ac:dyDescent="0.2">
      <c r="A399" s="141" t="s">
        <v>2312</v>
      </c>
      <c r="B399" s="134" t="s">
        <v>2376</v>
      </c>
      <c r="C399" s="135" t="s">
        <v>1720</v>
      </c>
      <c r="D399" s="136">
        <v>59.377988012638902</v>
      </c>
      <c r="E399" s="136">
        <v>39.462890625</v>
      </c>
      <c r="F399" s="137">
        <f t="shared" si="21"/>
        <v>7472</v>
      </c>
      <c r="G399" s="138">
        <f>7472+52</f>
        <v>7524</v>
      </c>
      <c r="H399" s="138">
        <f>7472-52</f>
        <v>7420</v>
      </c>
      <c r="I399" s="463" t="s">
        <v>1579</v>
      </c>
      <c r="J399" s="463" t="s">
        <v>69</v>
      </c>
      <c r="K399" s="139" t="s">
        <v>2391</v>
      </c>
      <c r="L399" s="140"/>
      <c r="M399" s="141" t="s">
        <v>2388</v>
      </c>
      <c r="N399" s="134"/>
      <c r="O399" s="134"/>
      <c r="P399" s="134"/>
      <c r="Q399" s="134"/>
      <c r="R399" s="134"/>
      <c r="S399" s="135"/>
      <c r="T399" s="135"/>
      <c r="V399" s="149"/>
      <c r="Y399" s="134"/>
      <c r="Z399" s="134"/>
    </row>
    <row r="400" spans="1:26" s="141" customFormat="1" x14ac:dyDescent="0.2">
      <c r="A400" s="141" t="s">
        <v>2504</v>
      </c>
      <c r="B400" s="134"/>
      <c r="C400" s="135" t="s">
        <v>1720</v>
      </c>
      <c r="D400" s="136"/>
      <c r="E400" s="136"/>
      <c r="F400" s="137"/>
      <c r="G400" s="138"/>
      <c r="H400" s="138"/>
      <c r="I400" s="869"/>
      <c r="J400" s="463"/>
      <c r="K400" s="139"/>
      <c r="L400" s="140"/>
      <c r="N400" s="134"/>
      <c r="O400" s="134"/>
      <c r="P400" s="134"/>
      <c r="Q400" s="134"/>
      <c r="R400" s="134" t="s">
        <v>4314</v>
      </c>
      <c r="S400" s="135"/>
      <c r="T400" s="135"/>
      <c r="V400" s="149"/>
      <c r="Y400" s="134"/>
      <c r="Z400" s="134"/>
    </row>
    <row r="401" spans="1:26" s="141" customFormat="1" x14ac:dyDescent="0.2">
      <c r="A401" s="141" t="s">
        <v>545</v>
      </c>
      <c r="B401" s="134" t="s">
        <v>1850</v>
      </c>
      <c r="C401" s="135" t="s">
        <v>1851</v>
      </c>
      <c r="D401" s="136">
        <v>44.552923999999997</v>
      </c>
      <c r="E401" s="136">
        <v>22.027563000000001</v>
      </c>
      <c r="F401" s="137">
        <f t="shared" ref="F401:F402" si="22">(G401+H401)/2</f>
        <v>7850</v>
      </c>
      <c r="G401" s="138">
        <v>8300</v>
      </c>
      <c r="H401" s="138">
        <v>7400</v>
      </c>
      <c r="I401" s="463" t="s">
        <v>1686</v>
      </c>
      <c r="J401" s="463" t="s">
        <v>575</v>
      </c>
      <c r="K401" s="139" t="s">
        <v>1852</v>
      </c>
      <c r="L401" s="140" t="s">
        <v>2</v>
      </c>
      <c r="M401" s="141" t="s">
        <v>1853</v>
      </c>
      <c r="N401" s="134" t="s">
        <v>1854</v>
      </c>
      <c r="O401" s="134" t="s">
        <v>69</v>
      </c>
      <c r="P401" s="134" t="s">
        <v>69</v>
      </c>
      <c r="Q401" s="134" t="s">
        <v>69</v>
      </c>
      <c r="R401" s="139" t="s">
        <v>2339</v>
      </c>
      <c r="S401" s="135"/>
      <c r="T401" s="135"/>
      <c r="V401" s="149"/>
      <c r="Y401" s="134"/>
      <c r="Z401" s="134"/>
    </row>
    <row r="402" spans="1:26" s="141" customFormat="1" x14ac:dyDescent="0.2">
      <c r="A402" s="141" t="s">
        <v>545</v>
      </c>
      <c r="B402" s="134" t="s">
        <v>1865</v>
      </c>
      <c r="C402" s="135" t="s">
        <v>1851</v>
      </c>
      <c r="D402" s="136">
        <v>44.595878999999996</v>
      </c>
      <c r="E402" s="136">
        <v>22.010567999999999</v>
      </c>
      <c r="F402" s="137">
        <f t="shared" si="22"/>
        <v>5951</v>
      </c>
      <c r="G402" s="138">
        <v>6061</v>
      </c>
      <c r="H402" s="138">
        <v>5841</v>
      </c>
      <c r="I402" s="466" t="s">
        <v>4333</v>
      </c>
      <c r="J402" s="463" t="s">
        <v>1698</v>
      </c>
      <c r="K402" s="867" t="s">
        <v>1866</v>
      </c>
      <c r="L402" s="140" t="s">
        <v>14</v>
      </c>
      <c r="M402" s="141" t="s">
        <v>1867</v>
      </c>
      <c r="N402" s="134" t="s">
        <v>1868</v>
      </c>
      <c r="O402" s="134" t="s">
        <v>69</v>
      </c>
      <c r="P402" s="134" t="s">
        <v>69</v>
      </c>
      <c r="Q402" s="134" t="s">
        <v>69</v>
      </c>
      <c r="R402" s="478" t="s">
        <v>4332</v>
      </c>
      <c r="S402" s="135"/>
      <c r="T402" s="135"/>
      <c r="V402" s="149"/>
      <c r="Y402" s="134"/>
      <c r="Z402" s="134"/>
    </row>
    <row r="403" spans="1:26" s="152" customFormat="1" x14ac:dyDescent="0.2">
      <c r="A403" s="152" t="s">
        <v>545</v>
      </c>
      <c r="B403" s="139" t="s">
        <v>1872</v>
      </c>
      <c r="C403" s="153" t="s">
        <v>1851</v>
      </c>
      <c r="D403" s="151">
        <v>44.53</v>
      </c>
      <c r="E403" s="151">
        <v>22.05</v>
      </c>
      <c r="F403" s="137">
        <f t="shared" ref="F403:F421" si="23">(G403+H403)/2</f>
        <v>9515</v>
      </c>
      <c r="G403" s="137">
        <v>9755</v>
      </c>
      <c r="H403" s="137">
        <v>9275</v>
      </c>
      <c r="I403" s="466" t="s">
        <v>4323</v>
      </c>
      <c r="J403" s="470" t="s">
        <v>69</v>
      </c>
      <c r="K403" s="867" t="s">
        <v>1687</v>
      </c>
      <c r="L403" s="154" t="s">
        <v>2</v>
      </c>
      <c r="M403" s="152" t="s">
        <v>1873</v>
      </c>
      <c r="N403" s="470" t="s">
        <v>1874</v>
      </c>
      <c r="O403" s="139" t="s">
        <v>69</v>
      </c>
      <c r="P403" s="139" t="s">
        <v>69</v>
      </c>
      <c r="Q403" s="139" t="s">
        <v>69</v>
      </c>
      <c r="R403" s="478" t="s">
        <v>4324</v>
      </c>
      <c r="S403" s="153"/>
      <c r="T403" s="153"/>
      <c r="V403" s="155"/>
      <c r="Y403" s="139"/>
      <c r="Z403" s="139"/>
    </row>
    <row r="404" spans="1:26" s="152" customFormat="1" x14ac:dyDescent="0.2">
      <c r="A404" s="152" t="s">
        <v>545</v>
      </c>
      <c r="B404" s="139" t="s">
        <v>1872</v>
      </c>
      <c r="C404" s="153" t="s">
        <v>1851</v>
      </c>
      <c r="D404" s="151">
        <v>44.53</v>
      </c>
      <c r="E404" s="151">
        <v>22.05</v>
      </c>
      <c r="F404" s="137">
        <f t="shared" si="23"/>
        <v>6790</v>
      </c>
      <c r="G404" s="137">
        <v>7045</v>
      </c>
      <c r="H404" s="137">
        <v>6535</v>
      </c>
      <c r="I404" s="466" t="s">
        <v>4323</v>
      </c>
      <c r="J404" s="470" t="s">
        <v>1063</v>
      </c>
      <c r="K404" s="867" t="s">
        <v>1687</v>
      </c>
      <c r="L404" s="154" t="s">
        <v>14</v>
      </c>
      <c r="M404" s="152" t="s">
        <v>1875</v>
      </c>
      <c r="N404" s="139" t="s">
        <v>1876</v>
      </c>
      <c r="O404" s="139" t="s">
        <v>69</v>
      </c>
      <c r="P404" s="139" t="s">
        <v>69</v>
      </c>
      <c r="Q404" s="139" t="s">
        <v>69</v>
      </c>
      <c r="R404" s="478" t="s">
        <v>4324</v>
      </c>
      <c r="S404" s="153"/>
      <c r="T404" s="153"/>
      <c r="V404" s="155"/>
      <c r="Y404" s="139"/>
      <c r="Z404" s="139"/>
    </row>
    <row r="405" spans="1:26" s="141" customFormat="1" x14ac:dyDescent="0.2">
      <c r="A405" s="141" t="s">
        <v>545</v>
      </c>
      <c r="B405" s="134" t="s">
        <v>1865</v>
      </c>
      <c r="C405" s="135" t="s">
        <v>1851</v>
      </c>
      <c r="D405" s="136">
        <v>44.595878999999996</v>
      </c>
      <c r="E405" s="136">
        <v>22.010567999999999</v>
      </c>
      <c r="F405" s="137">
        <f>(G405+H405)/2</f>
        <v>8042.5</v>
      </c>
      <c r="G405" s="138">
        <v>8265</v>
      </c>
      <c r="H405" s="138">
        <v>7820</v>
      </c>
      <c r="I405" s="466" t="s">
        <v>4323</v>
      </c>
      <c r="J405" s="463" t="s">
        <v>575</v>
      </c>
      <c r="K405" s="867" t="s">
        <v>1687</v>
      </c>
      <c r="L405" s="140" t="s">
        <v>2</v>
      </c>
      <c r="M405" s="141" t="s">
        <v>1870</v>
      </c>
      <c r="N405" s="134" t="s">
        <v>1871</v>
      </c>
      <c r="O405" s="134" t="s">
        <v>69</v>
      </c>
      <c r="P405" s="134" t="s">
        <v>69</v>
      </c>
      <c r="Q405" s="134" t="s">
        <v>69</v>
      </c>
      <c r="R405" s="478" t="s">
        <v>4324</v>
      </c>
      <c r="S405" s="135"/>
      <c r="T405" s="135"/>
      <c r="V405" s="149"/>
      <c r="Y405" s="134"/>
      <c r="Z405" s="134"/>
    </row>
    <row r="406" spans="1:26" s="152" customFormat="1" x14ac:dyDescent="0.2">
      <c r="A406" s="152" t="s">
        <v>545</v>
      </c>
      <c r="B406" s="139" t="s">
        <v>1865</v>
      </c>
      <c r="C406" s="153" t="s">
        <v>1851</v>
      </c>
      <c r="D406" s="151">
        <v>44.595878999999996</v>
      </c>
      <c r="E406" s="151">
        <v>22.010567999999999</v>
      </c>
      <c r="F406" s="137">
        <f t="shared" si="23"/>
        <v>8835</v>
      </c>
      <c r="G406" s="137">
        <v>9115</v>
      </c>
      <c r="H406" s="137">
        <v>8555</v>
      </c>
      <c r="I406" s="466" t="s">
        <v>4326</v>
      </c>
      <c r="J406" s="470" t="s">
        <v>575</v>
      </c>
      <c r="K406" s="867" t="s">
        <v>1687</v>
      </c>
      <c r="L406" s="154" t="s">
        <v>2</v>
      </c>
      <c r="M406" s="152" t="s">
        <v>1877</v>
      </c>
      <c r="N406" s="139" t="s">
        <v>1878</v>
      </c>
      <c r="O406" s="139" t="s">
        <v>69</v>
      </c>
      <c r="P406" s="139" t="s">
        <v>69</v>
      </c>
      <c r="Q406" s="139" t="s">
        <v>69</v>
      </c>
      <c r="R406" s="478" t="s">
        <v>4327</v>
      </c>
      <c r="S406" s="153"/>
      <c r="T406" s="153"/>
      <c r="V406" s="155"/>
      <c r="Y406" s="139"/>
      <c r="Z406" s="139"/>
    </row>
    <row r="407" spans="1:26" s="152" customFormat="1" x14ac:dyDescent="0.2">
      <c r="A407" s="152" t="s">
        <v>545</v>
      </c>
      <c r="B407" s="139" t="s">
        <v>1865</v>
      </c>
      <c r="C407" s="153" t="s">
        <v>1851</v>
      </c>
      <c r="D407" s="151">
        <v>44.595878999999996</v>
      </c>
      <c r="E407" s="151">
        <v>22.010567999999999</v>
      </c>
      <c r="F407" s="137">
        <f t="shared" si="23"/>
        <v>7850</v>
      </c>
      <c r="G407" s="137">
        <v>9500</v>
      </c>
      <c r="H407" s="137">
        <v>6200</v>
      </c>
      <c r="I407" s="470" t="s">
        <v>1347</v>
      </c>
      <c r="J407" s="470" t="s">
        <v>575</v>
      </c>
      <c r="K407" s="867" t="s">
        <v>1687</v>
      </c>
      <c r="L407" s="154" t="s">
        <v>2</v>
      </c>
      <c r="M407" s="152" t="s">
        <v>1879</v>
      </c>
      <c r="N407" s="139" t="s">
        <v>1880</v>
      </c>
      <c r="O407" s="139" t="s">
        <v>69</v>
      </c>
      <c r="P407" s="139" t="s">
        <v>69</v>
      </c>
      <c r="Q407" s="139" t="s">
        <v>69</v>
      </c>
      <c r="R407" s="139"/>
      <c r="S407" s="153"/>
      <c r="T407" s="153"/>
      <c r="V407" s="155"/>
      <c r="Y407" s="139"/>
      <c r="Z407" s="139"/>
    </row>
    <row r="408" spans="1:26" s="152" customFormat="1" x14ac:dyDescent="0.2">
      <c r="A408" s="152" t="s">
        <v>545</v>
      </c>
      <c r="B408" s="139" t="s">
        <v>1872</v>
      </c>
      <c r="C408" s="153" t="s">
        <v>1851</v>
      </c>
      <c r="D408" s="151">
        <v>44.53</v>
      </c>
      <c r="E408" s="151">
        <v>22.05</v>
      </c>
      <c r="F408" s="137">
        <f t="shared" si="23"/>
        <v>5852.5</v>
      </c>
      <c r="G408" s="137">
        <v>5995</v>
      </c>
      <c r="H408" s="137">
        <v>5710</v>
      </c>
      <c r="I408" s="470" t="s">
        <v>1347</v>
      </c>
      <c r="J408" s="470" t="s">
        <v>438</v>
      </c>
      <c r="K408" s="867" t="s">
        <v>1687</v>
      </c>
      <c r="L408" s="154" t="s">
        <v>14</v>
      </c>
      <c r="M408" s="152" t="s">
        <v>1881</v>
      </c>
      <c r="N408" s="139" t="s">
        <v>1882</v>
      </c>
      <c r="O408" s="139" t="s">
        <v>69</v>
      </c>
      <c r="P408" s="139" t="s">
        <v>69</v>
      </c>
      <c r="Q408" s="139" t="s">
        <v>69</v>
      </c>
      <c r="R408" s="139" t="s">
        <v>2340</v>
      </c>
      <c r="S408" s="153"/>
      <c r="T408" s="153"/>
      <c r="V408" s="155"/>
      <c r="Y408" s="139"/>
      <c r="Z408" s="139"/>
    </row>
    <row r="409" spans="1:26" s="152" customFormat="1" x14ac:dyDescent="0.2">
      <c r="A409" s="152" t="s">
        <v>545</v>
      </c>
      <c r="B409" s="139" t="s">
        <v>1872</v>
      </c>
      <c r="C409" s="153" t="s">
        <v>1851</v>
      </c>
      <c r="D409" s="151">
        <v>44.53</v>
      </c>
      <c r="E409" s="151">
        <v>22.05</v>
      </c>
      <c r="F409" s="137">
        <f t="shared" si="23"/>
        <v>8090</v>
      </c>
      <c r="G409" s="137">
        <v>8240</v>
      </c>
      <c r="H409" s="137">
        <v>7940</v>
      </c>
      <c r="I409" s="470" t="s">
        <v>1347</v>
      </c>
      <c r="J409" s="470" t="s">
        <v>80</v>
      </c>
      <c r="K409" s="867" t="s">
        <v>1687</v>
      </c>
      <c r="L409" s="154" t="s">
        <v>14</v>
      </c>
      <c r="M409" s="152" t="s">
        <v>1883</v>
      </c>
      <c r="N409" s="139" t="s">
        <v>1884</v>
      </c>
      <c r="O409" s="139" t="s">
        <v>69</v>
      </c>
      <c r="P409" s="139" t="s">
        <v>69</v>
      </c>
      <c r="Q409" s="139" t="s">
        <v>69</v>
      </c>
      <c r="R409" s="139"/>
      <c r="S409" s="153"/>
      <c r="T409" s="153"/>
      <c r="V409" s="155"/>
      <c r="Y409" s="139"/>
      <c r="Z409" s="139"/>
    </row>
    <row r="410" spans="1:26" s="152" customFormat="1" x14ac:dyDescent="0.2">
      <c r="A410" s="152" t="s">
        <v>545</v>
      </c>
      <c r="B410" s="139" t="s">
        <v>1872</v>
      </c>
      <c r="C410" s="153" t="s">
        <v>1851</v>
      </c>
      <c r="D410" s="151">
        <v>44.53</v>
      </c>
      <c r="E410" s="151">
        <v>22.05</v>
      </c>
      <c r="F410" s="137">
        <f t="shared" si="23"/>
        <v>5862.5</v>
      </c>
      <c r="G410" s="137">
        <v>6000</v>
      </c>
      <c r="H410" s="137">
        <v>5725</v>
      </c>
      <c r="I410" s="470" t="s">
        <v>1441</v>
      </c>
      <c r="J410" s="470" t="s">
        <v>1885</v>
      </c>
      <c r="K410" s="867" t="s">
        <v>1687</v>
      </c>
      <c r="L410" s="154" t="s">
        <v>14</v>
      </c>
      <c r="M410" s="152" t="s">
        <v>1886</v>
      </c>
      <c r="N410" s="139" t="s">
        <v>1887</v>
      </c>
      <c r="O410" s="139" t="s">
        <v>69</v>
      </c>
      <c r="P410" s="139" t="s">
        <v>69</v>
      </c>
      <c r="Q410" s="139" t="s">
        <v>69</v>
      </c>
      <c r="R410" s="139" t="s">
        <v>2340</v>
      </c>
      <c r="S410" s="153"/>
      <c r="T410" s="153"/>
      <c r="V410" s="155"/>
      <c r="Y410" s="139"/>
      <c r="Z410" s="139"/>
    </row>
    <row r="411" spans="1:26" s="152" customFormat="1" x14ac:dyDescent="0.2">
      <c r="A411" s="152" t="s">
        <v>545</v>
      </c>
      <c r="B411" s="139" t="s">
        <v>1872</v>
      </c>
      <c r="C411" s="153" t="s">
        <v>1851</v>
      </c>
      <c r="D411" s="151">
        <v>44.53</v>
      </c>
      <c r="E411" s="151">
        <v>22.05</v>
      </c>
      <c r="F411" s="137">
        <f t="shared" si="23"/>
        <v>6412.5</v>
      </c>
      <c r="G411" s="137">
        <v>6570</v>
      </c>
      <c r="H411" s="137">
        <v>6255</v>
      </c>
      <c r="I411" s="470" t="s">
        <v>1441</v>
      </c>
      <c r="J411" s="470" t="s">
        <v>1885</v>
      </c>
      <c r="K411" s="867" t="s">
        <v>1687</v>
      </c>
      <c r="L411" s="154" t="s">
        <v>14</v>
      </c>
      <c r="M411" s="152" t="s">
        <v>1888</v>
      </c>
      <c r="N411" s="139" t="s">
        <v>1889</v>
      </c>
      <c r="O411" s="139" t="s">
        <v>69</v>
      </c>
      <c r="P411" s="139" t="s">
        <v>69</v>
      </c>
      <c r="Q411" s="139" t="s">
        <v>69</v>
      </c>
      <c r="R411" s="139"/>
      <c r="S411" s="153"/>
      <c r="T411" s="153"/>
      <c r="V411" s="155"/>
      <c r="Y411" s="139"/>
      <c r="Z411" s="139"/>
    </row>
    <row r="412" spans="1:26" s="152" customFormat="1" x14ac:dyDescent="0.2">
      <c r="A412" s="152" t="s">
        <v>545</v>
      </c>
      <c r="B412" s="139" t="s">
        <v>1872</v>
      </c>
      <c r="C412" s="153" t="s">
        <v>1851</v>
      </c>
      <c r="D412" s="151">
        <v>44.53</v>
      </c>
      <c r="E412" s="151">
        <v>22.05</v>
      </c>
      <c r="F412" s="137">
        <f t="shared" si="23"/>
        <v>6050</v>
      </c>
      <c r="G412" s="137">
        <v>6200</v>
      </c>
      <c r="H412" s="137">
        <v>5900</v>
      </c>
      <c r="I412" s="470" t="s">
        <v>1441</v>
      </c>
      <c r="J412" s="470" t="s">
        <v>433</v>
      </c>
      <c r="K412" s="867" t="s">
        <v>1890</v>
      </c>
      <c r="L412" s="154" t="s">
        <v>14</v>
      </c>
      <c r="M412" s="152" t="s">
        <v>1891</v>
      </c>
      <c r="N412" s="139" t="s">
        <v>1892</v>
      </c>
      <c r="O412" s="139" t="s">
        <v>69</v>
      </c>
      <c r="P412" s="139" t="s">
        <v>69</v>
      </c>
      <c r="Q412" s="139" t="s">
        <v>69</v>
      </c>
      <c r="R412" s="139" t="s">
        <v>2340</v>
      </c>
      <c r="S412" s="153"/>
      <c r="T412" s="153"/>
      <c r="V412" s="155"/>
      <c r="Y412" s="139"/>
      <c r="Z412" s="139"/>
    </row>
    <row r="413" spans="1:26" s="152" customFormat="1" x14ac:dyDescent="0.2">
      <c r="A413" s="152" t="s">
        <v>545</v>
      </c>
      <c r="B413" s="139" t="s">
        <v>1893</v>
      </c>
      <c r="C413" s="153" t="s">
        <v>1851</v>
      </c>
      <c r="D413" s="151">
        <v>44.640262</v>
      </c>
      <c r="E413" s="151">
        <v>22.303329999999999</v>
      </c>
      <c r="F413" s="137">
        <f t="shared" si="23"/>
        <v>6887.5</v>
      </c>
      <c r="G413" s="137">
        <v>7076</v>
      </c>
      <c r="H413" s="137">
        <v>6699</v>
      </c>
      <c r="I413" s="470" t="s">
        <v>864</v>
      </c>
      <c r="J413" s="470" t="s">
        <v>516</v>
      </c>
      <c r="K413" s="867" t="s">
        <v>1687</v>
      </c>
      <c r="L413" s="154" t="s">
        <v>14</v>
      </c>
      <c r="M413" s="152" t="s">
        <v>1894</v>
      </c>
      <c r="N413" s="139" t="s">
        <v>1895</v>
      </c>
      <c r="O413" s="139" t="s">
        <v>69</v>
      </c>
      <c r="P413" s="139" t="s">
        <v>69</v>
      </c>
      <c r="Q413" s="139" t="s">
        <v>69</v>
      </c>
      <c r="R413" s="139"/>
      <c r="S413" s="153"/>
      <c r="T413" s="153"/>
      <c r="V413" s="155"/>
      <c r="Y413" s="139"/>
      <c r="Z413" s="139"/>
    </row>
    <row r="414" spans="1:26" s="152" customFormat="1" x14ac:dyDescent="0.2">
      <c r="A414" s="152" t="s">
        <v>545</v>
      </c>
      <c r="B414" s="139" t="s">
        <v>1865</v>
      </c>
      <c r="C414" s="153" t="s">
        <v>1851</v>
      </c>
      <c r="D414" s="151">
        <v>44.595878999999996</v>
      </c>
      <c r="E414" s="151">
        <v>22.010567999999999</v>
      </c>
      <c r="F414" s="137">
        <f t="shared" si="23"/>
        <v>8580</v>
      </c>
      <c r="G414" s="137">
        <v>8805</v>
      </c>
      <c r="H414" s="137">
        <v>8355</v>
      </c>
      <c r="I414" s="470" t="s">
        <v>864</v>
      </c>
      <c r="J414" s="470" t="s">
        <v>575</v>
      </c>
      <c r="K414" s="867" t="s">
        <v>1687</v>
      </c>
      <c r="L414" s="154" t="s">
        <v>2</v>
      </c>
      <c r="M414" s="152" t="s">
        <v>1896</v>
      </c>
      <c r="N414" s="139" t="s">
        <v>1897</v>
      </c>
      <c r="O414" s="139" t="s">
        <v>69</v>
      </c>
      <c r="P414" s="139" t="s">
        <v>69</v>
      </c>
      <c r="Q414" s="139" t="s">
        <v>69</v>
      </c>
      <c r="R414" s="139"/>
      <c r="S414" s="153"/>
      <c r="T414" s="153"/>
      <c r="V414" s="155"/>
      <c r="Y414" s="139"/>
      <c r="Z414" s="139"/>
    </row>
    <row r="415" spans="1:26" s="152" customFormat="1" x14ac:dyDescent="0.2">
      <c r="A415" s="152" t="s">
        <v>545</v>
      </c>
      <c r="B415" s="139" t="s">
        <v>1893</v>
      </c>
      <c r="C415" s="153" t="s">
        <v>1851</v>
      </c>
      <c r="D415" s="151">
        <v>44.640262</v>
      </c>
      <c r="E415" s="151">
        <v>22.303329999999999</v>
      </c>
      <c r="F415" s="137">
        <f t="shared" si="23"/>
        <v>6107.5</v>
      </c>
      <c r="G415" s="137">
        <v>6220</v>
      </c>
      <c r="H415" s="137">
        <v>5995</v>
      </c>
      <c r="I415" s="470" t="s">
        <v>617</v>
      </c>
      <c r="J415" s="470" t="s">
        <v>575</v>
      </c>
      <c r="K415" s="867" t="s">
        <v>1687</v>
      </c>
      <c r="L415" s="154" t="s">
        <v>2</v>
      </c>
      <c r="M415" s="152" t="s">
        <v>1898</v>
      </c>
      <c r="N415" s="139" t="s">
        <v>1899</v>
      </c>
      <c r="O415" s="139" t="s">
        <v>69</v>
      </c>
      <c r="P415" s="139" t="s">
        <v>69</v>
      </c>
      <c r="Q415" s="139" t="s">
        <v>69</v>
      </c>
      <c r="R415" s="139"/>
      <c r="S415" s="153"/>
      <c r="T415" s="153"/>
      <c r="V415" s="155"/>
      <c r="Y415" s="139"/>
      <c r="Z415" s="139"/>
    </row>
    <row r="416" spans="1:26" s="152" customFormat="1" x14ac:dyDescent="0.2">
      <c r="A416" s="152" t="s">
        <v>545</v>
      </c>
      <c r="B416" s="139" t="s">
        <v>1865</v>
      </c>
      <c r="C416" s="153" t="s">
        <v>1851</v>
      </c>
      <c r="D416" s="151">
        <v>44.595878999999996</v>
      </c>
      <c r="E416" s="151">
        <v>22.010567999999999</v>
      </c>
      <c r="F416" s="137">
        <f t="shared" si="23"/>
        <v>8855</v>
      </c>
      <c r="G416" s="137">
        <v>9140</v>
      </c>
      <c r="H416" s="137">
        <v>8570</v>
      </c>
      <c r="I416" s="470" t="s">
        <v>617</v>
      </c>
      <c r="J416" s="470" t="s">
        <v>1698</v>
      </c>
      <c r="K416" s="867" t="s">
        <v>1687</v>
      </c>
      <c r="L416" s="154" t="s">
        <v>14</v>
      </c>
      <c r="M416" s="152" t="s">
        <v>1900</v>
      </c>
      <c r="N416" s="139" t="s">
        <v>1901</v>
      </c>
      <c r="O416" s="139" t="s">
        <v>69</v>
      </c>
      <c r="P416" s="139" t="s">
        <v>69</v>
      </c>
      <c r="Q416" s="139" t="s">
        <v>69</v>
      </c>
      <c r="R416" s="139"/>
      <c r="S416" s="153"/>
      <c r="T416" s="153"/>
      <c r="V416" s="155"/>
      <c r="Y416" s="139"/>
      <c r="Z416" s="139"/>
    </row>
    <row r="417" spans="1:26" s="152" customFormat="1" x14ac:dyDescent="0.2">
      <c r="A417" s="152" t="s">
        <v>545</v>
      </c>
      <c r="B417" s="139" t="s">
        <v>1865</v>
      </c>
      <c r="C417" s="153" t="s">
        <v>1851</v>
      </c>
      <c r="D417" s="151">
        <v>44.595878999999996</v>
      </c>
      <c r="E417" s="151">
        <v>22.010567999999999</v>
      </c>
      <c r="F417" s="137">
        <f t="shared" si="23"/>
        <v>7850</v>
      </c>
      <c r="G417" s="137">
        <v>9500</v>
      </c>
      <c r="H417" s="137">
        <v>6200</v>
      </c>
      <c r="I417" s="470" t="s">
        <v>617</v>
      </c>
      <c r="J417" s="470" t="s">
        <v>575</v>
      </c>
      <c r="K417" s="867" t="s">
        <v>1687</v>
      </c>
      <c r="L417" s="154" t="s">
        <v>2</v>
      </c>
      <c r="M417" s="152" t="s">
        <v>1902</v>
      </c>
      <c r="N417" s="139" t="s">
        <v>1903</v>
      </c>
      <c r="O417" s="139" t="s">
        <v>69</v>
      </c>
      <c r="P417" s="139" t="s">
        <v>69</v>
      </c>
      <c r="Q417" s="139" t="s">
        <v>69</v>
      </c>
      <c r="R417" s="139"/>
      <c r="S417" s="153"/>
      <c r="T417" s="153"/>
      <c r="V417" s="155"/>
      <c r="Y417" s="139"/>
      <c r="Z417" s="139"/>
    </row>
    <row r="418" spans="1:26" s="152" customFormat="1" x14ac:dyDescent="0.2">
      <c r="A418" s="152" t="s">
        <v>545</v>
      </c>
      <c r="B418" s="139" t="s">
        <v>1872</v>
      </c>
      <c r="C418" s="153" t="s">
        <v>1851</v>
      </c>
      <c r="D418" s="151">
        <v>44.53</v>
      </c>
      <c r="E418" s="151">
        <v>22.05</v>
      </c>
      <c r="F418" s="137">
        <f t="shared" si="23"/>
        <v>6500</v>
      </c>
      <c r="G418" s="137">
        <v>7100</v>
      </c>
      <c r="H418" s="137">
        <v>5900</v>
      </c>
      <c r="I418" s="470" t="s">
        <v>617</v>
      </c>
      <c r="J418" s="470" t="s">
        <v>69</v>
      </c>
      <c r="K418" s="867" t="s">
        <v>1687</v>
      </c>
      <c r="L418" s="154" t="s">
        <v>2</v>
      </c>
      <c r="M418" s="152" t="s">
        <v>1904</v>
      </c>
      <c r="N418" s="139" t="s">
        <v>1905</v>
      </c>
      <c r="O418" s="139" t="s">
        <v>69</v>
      </c>
      <c r="P418" s="139" t="s">
        <v>69</v>
      </c>
      <c r="Q418" s="139" t="s">
        <v>69</v>
      </c>
      <c r="R418" s="139"/>
      <c r="S418" s="153"/>
      <c r="T418" s="153"/>
      <c r="V418" s="155"/>
      <c r="Y418" s="139"/>
      <c r="Z418" s="139"/>
    </row>
    <row r="419" spans="1:26" s="152" customFormat="1" x14ac:dyDescent="0.2">
      <c r="A419" s="152" t="s">
        <v>545</v>
      </c>
      <c r="B419" s="139" t="s">
        <v>1893</v>
      </c>
      <c r="C419" s="153" t="s">
        <v>1851</v>
      </c>
      <c r="D419" s="151">
        <v>44.640262</v>
      </c>
      <c r="E419" s="151">
        <v>22.303329999999999</v>
      </c>
      <c r="F419" s="137">
        <f t="shared" si="23"/>
        <v>6172.5</v>
      </c>
      <c r="G419" s="137">
        <v>6355</v>
      </c>
      <c r="H419" s="137">
        <v>5990</v>
      </c>
      <c r="I419" s="470" t="s">
        <v>1708</v>
      </c>
      <c r="J419" s="470" t="s">
        <v>1885</v>
      </c>
      <c r="K419" s="867" t="s">
        <v>1687</v>
      </c>
      <c r="L419" s="154" t="s">
        <v>14</v>
      </c>
      <c r="M419" s="152" t="s">
        <v>1906</v>
      </c>
      <c r="N419" s="139" t="s">
        <v>1907</v>
      </c>
      <c r="O419" s="139" t="s">
        <v>69</v>
      </c>
      <c r="P419" s="139" t="s">
        <v>69</v>
      </c>
      <c r="Q419" s="139" t="s">
        <v>69</v>
      </c>
      <c r="R419" s="139"/>
      <c r="S419" s="153"/>
      <c r="T419" s="153"/>
      <c r="V419" s="155"/>
      <c r="Y419" s="139"/>
      <c r="Z419" s="139"/>
    </row>
    <row r="420" spans="1:26" s="152" customFormat="1" x14ac:dyDescent="0.2">
      <c r="A420" s="152" t="s">
        <v>545</v>
      </c>
      <c r="B420" s="139" t="s">
        <v>1893</v>
      </c>
      <c r="C420" s="153" t="s">
        <v>1851</v>
      </c>
      <c r="D420" s="151">
        <v>44.640262</v>
      </c>
      <c r="E420" s="151">
        <v>22.303329999999999</v>
      </c>
      <c r="F420" s="137">
        <f t="shared" si="23"/>
        <v>6205.5</v>
      </c>
      <c r="G420" s="137">
        <v>6361</v>
      </c>
      <c r="H420" s="137">
        <v>6050</v>
      </c>
      <c r="I420" s="470" t="s">
        <v>1708</v>
      </c>
      <c r="J420" s="470" t="s">
        <v>433</v>
      </c>
      <c r="K420" s="867" t="s">
        <v>1687</v>
      </c>
      <c r="L420" s="154" t="s">
        <v>14</v>
      </c>
      <c r="M420" s="152" t="s">
        <v>1908</v>
      </c>
      <c r="N420" s="139" t="s">
        <v>1909</v>
      </c>
      <c r="O420" s="139" t="s">
        <v>69</v>
      </c>
      <c r="P420" s="139" t="s">
        <v>69</v>
      </c>
      <c r="Q420" s="139" t="s">
        <v>69</v>
      </c>
      <c r="R420" s="139"/>
      <c r="S420" s="153"/>
      <c r="T420" s="153"/>
      <c r="V420" s="155"/>
      <c r="Y420" s="139"/>
      <c r="Z420" s="139"/>
    </row>
    <row r="421" spans="1:26" s="152" customFormat="1" x14ac:dyDescent="0.2">
      <c r="A421" s="152" t="s">
        <v>545</v>
      </c>
      <c r="B421" s="139" t="s">
        <v>1872</v>
      </c>
      <c r="C421" s="153" t="s">
        <v>1851</v>
      </c>
      <c r="D421" s="151">
        <v>44.53</v>
      </c>
      <c r="E421" s="151">
        <v>22.05</v>
      </c>
      <c r="F421" s="137">
        <f t="shared" si="23"/>
        <v>6375</v>
      </c>
      <c r="G421" s="137">
        <v>6500</v>
      </c>
      <c r="H421" s="137">
        <v>6250</v>
      </c>
      <c r="I421" s="470" t="s">
        <v>1708</v>
      </c>
      <c r="J421" s="470" t="s">
        <v>80</v>
      </c>
      <c r="K421" s="867" t="s">
        <v>1687</v>
      </c>
      <c r="L421" s="154" t="s">
        <v>14</v>
      </c>
      <c r="M421" s="152" t="s">
        <v>1910</v>
      </c>
      <c r="N421" s="139" t="s">
        <v>1911</v>
      </c>
      <c r="O421" s="139" t="s">
        <v>69</v>
      </c>
      <c r="P421" s="139" t="s">
        <v>69</v>
      </c>
      <c r="Q421" s="139" t="s">
        <v>69</v>
      </c>
      <c r="R421" s="139"/>
      <c r="S421" s="153"/>
      <c r="T421" s="153"/>
      <c r="V421" s="155"/>
      <c r="Y421" s="139"/>
      <c r="Z421" s="139"/>
    </row>
    <row r="422" spans="1:26" s="152" customFormat="1" x14ac:dyDescent="0.2">
      <c r="A422" s="152" t="s">
        <v>4085</v>
      </c>
      <c r="B422" s="139" t="s">
        <v>1872</v>
      </c>
      <c r="C422" s="153" t="s">
        <v>1851</v>
      </c>
      <c r="D422" s="151">
        <v>44.53</v>
      </c>
      <c r="E422" s="151">
        <v>22.05</v>
      </c>
      <c r="F422" s="293">
        <v>7604.5</v>
      </c>
      <c r="G422" s="291">
        <f>F422+136.5</f>
        <v>7741</v>
      </c>
      <c r="H422" s="291">
        <f>F422-136.5</f>
        <v>7468</v>
      </c>
      <c r="I422" s="470" t="s">
        <v>1912</v>
      </c>
      <c r="J422" s="470" t="s">
        <v>184</v>
      </c>
      <c r="K422" s="866" t="s">
        <v>2111</v>
      </c>
      <c r="L422" s="154" t="s">
        <v>14</v>
      </c>
      <c r="M422" s="152" t="s">
        <v>1913</v>
      </c>
      <c r="N422" s="139" t="s">
        <v>69</v>
      </c>
      <c r="O422" s="139" t="s">
        <v>69</v>
      </c>
      <c r="P422" s="139" t="s">
        <v>69</v>
      </c>
      <c r="Q422" s="139" t="s">
        <v>69</v>
      </c>
      <c r="R422" s="139"/>
      <c r="S422" s="153"/>
      <c r="T422" s="153"/>
      <c r="V422" s="155"/>
      <c r="Y422" s="139"/>
      <c r="Z422" s="139"/>
    </row>
    <row r="423" spans="1:26" s="152" customFormat="1" x14ac:dyDescent="0.2">
      <c r="A423" s="152" t="s">
        <v>4043</v>
      </c>
      <c r="B423" s="139" t="s">
        <v>1872</v>
      </c>
      <c r="C423" s="153" t="s">
        <v>1851</v>
      </c>
      <c r="D423" s="151">
        <v>44.53</v>
      </c>
      <c r="E423" s="151">
        <v>22.05</v>
      </c>
      <c r="F423" s="293">
        <v>6552</v>
      </c>
      <c r="G423" s="291">
        <f>F423+212</f>
        <v>6764</v>
      </c>
      <c r="H423" s="291">
        <f>F423-212</f>
        <v>6340</v>
      </c>
      <c r="I423" s="470" t="s">
        <v>1912</v>
      </c>
      <c r="J423" s="470" t="s">
        <v>1063</v>
      </c>
      <c r="K423" s="866" t="s">
        <v>2111</v>
      </c>
      <c r="L423" s="154" t="s">
        <v>14</v>
      </c>
      <c r="M423" s="152" t="s">
        <v>1914</v>
      </c>
      <c r="N423" s="139" t="s">
        <v>69</v>
      </c>
      <c r="O423" s="139" t="s">
        <v>69</v>
      </c>
      <c r="P423" s="139" t="s">
        <v>69</v>
      </c>
      <c r="Q423" s="139" t="s">
        <v>69</v>
      </c>
      <c r="R423" s="139"/>
      <c r="S423" s="153"/>
      <c r="T423" s="153"/>
      <c r="V423" s="155"/>
      <c r="Y423" s="139"/>
      <c r="Z423" s="139"/>
    </row>
    <row r="424" spans="1:26" s="152" customFormat="1" x14ac:dyDescent="0.2">
      <c r="A424" s="152" t="s">
        <v>545</v>
      </c>
      <c r="B424" s="139" t="s">
        <v>1865</v>
      </c>
      <c r="C424" s="153" t="s">
        <v>1851</v>
      </c>
      <c r="D424" s="151">
        <v>44.595878999999996</v>
      </c>
      <c r="E424" s="151">
        <v>22.010567999999999</v>
      </c>
      <c r="F424" s="137">
        <f t="shared" ref="F424:F439" si="24">(G424+H424)/2</f>
        <v>7850</v>
      </c>
      <c r="G424" s="137">
        <v>9500</v>
      </c>
      <c r="H424" s="137">
        <v>6200</v>
      </c>
      <c r="I424" s="470" t="s">
        <v>1912</v>
      </c>
      <c r="J424" s="470" t="s">
        <v>1698</v>
      </c>
      <c r="K424" s="867" t="s">
        <v>1687</v>
      </c>
      <c r="L424" s="154" t="s">
        <v>14</v>
      </c>
      <c r="M424" s="152" t="s">
        <v>1915</v>
      </c>
      <c r="N424" s="139" t="s">
        <v>1916</v>
      </c>
      <c r="O424" s="139" t="s">
        <v>69</v>
      </c>
      <c r="P424" s="139" t="s">
        <v>69</v>
      </c>
      <c r="Q424" s="139" t="s">
        <v>69</v>
      </c>
      <c r="R424" s="139"/>
      <c r="S424" s="153"/>
      <c r="T424" s="153"/>
      <c r="V424" s="155"/>
      <c r="Y424" s="139"/>
      <c r="Z424" s="139"/>
    </row>
    <row r="425" spans="1:26" s="152" customFormat="1" x14ac:dyDescent="0.2">
      <c r="A425" s="152" t="s">
        <v>545</v>
      </c>
      <c r="B425" s="139" t="s">
        <v>1865</v>
      </c>
      <c r="C425" s="153" t="s">
        <v>1851</v>
      </c>
      <c r="D425" s="151">
        <v>44.595878999999996</v>
      </c>
      <c r="E425" s="151">
        <v>22.010567999999999</v>
      </c>
      <c r="F425" s="137">
        <f>(G425+H425)/2</f>
        <v>8057.5</v>
      </c>
      <c r="G425" s="137">
        <v>8290</v>
      </c>
      <c r="H425" s="137">
        <v>7825</v>
      </c>
      <c r="I425" s="470" t="s">
        <v>952</v>
      </c>
      <c r="J425" s="470" t="s">
        <v>581</v>
      </c>
      <c r="K425" s="867" t="s">
        <v>1687</v>
      </c>
      <c r="L425" s="154" t="s">
        <v>14</v>
      </c>
      <c r="M425" s="152" t="s">
        <v>1924</v>
      </c>
      <c r="N425" s="139" t="s">
        <v>1925</v>
      </c>
      <c r="O425" s="139" t="s">
        <v>69</v>
      </c>
      <c r="P425" s="139" t="s">
        <v>69</v>
      </c>
      <c r="Q425" s="139" t="s">
        <v>69</v>
      </c>
      <c r="R425" s="139"/>
      <c r="S425" s="153"/>
      <c r="T425" s="153"/>
      <c r="V425" s="155"/>
      <c r="Y425" s="139"/>
      <c r="Z425" s="139"/>
    </row>
    <row r="426" spans="1:26" s="152" customFormat="1" x14ac:dyDescent="0.2">
      <c r="A426" s="152" t="s">
        <v>545</v>
      </c>
      <c r="B426" s="139" t="s">
        <v>1865</v>
      </c>
      <c r="C426" s="153" t="s">
        <v>1851</v>
      </c>
      <c r="D426" s="151">
        <v>44.595878999999996</v>
      </c>
      <c r="E426" s="151">
        <v>22.010567999999999</v>
      </c>
      <c r="F426" s="137">
        <f t="shared" si="24"/>
        <v>9245.5</v>
      </c>
      <c r="G426" s="137">
        <v>9297</v>
      </c>
      <c r="H426" s="137">
        <v>9194</v>
      </c>
      <c r="I426" s="470" t="s">
        <v>1912</v>
      </c>
      <c r="J426" s="470" t="s">
        <v>575</v>
      </c>
      <c r="K426" s="867" t="s">
        <v>1917</v>
      </c>
      <c r="L426" s="154" t="s">
        <v>2</v>
      </c>
      <c r="M426" s="152" t="s">
        <v>1918</v>
      </c>
      <c r="N426" s="139" t="s">
        <v>1919</v>
      </c>
      <c r="O426" s="139" t="s">
        <v>69</v>
      </c>
      <c r="P426" s="139" t="s">
        <v>69</v>
      </c>
      <c r="Q426" s="139" t="s">
        <v>69</v>
      </c>
      <c r="R426" s="139"/>
      <c r="S426" s="153"/>
      <c r="T426" s="153"/>
      <c r="V426" s="155"/>
      <c r="Y426" s="139"/>
      <c r="Z426" s="139"/>
    </row>
    <row r="427" spans="1:26" s="152" customFormat="1" x14ac:dyDescent="0.2">
      <c r="A427" s="152" t="s">
        <v>545</v>
      </c>
      <c r="B427" s="139" t="s">
        <v>1872</v>
      </c>
      <c r="C427" s="153" t="s">
        <v>1851</v>
      </c>
      <c r="D427" s="151">
        <v>44.53</v>
      </c>
      <c r="E427" s="151">
        <v>22.05</v>
      </c>
      <c r="F427" s="137">
        <f t="shared" si="24"/>
        <v>5922</v>
      </c>
      <c r="G427" s="137">
        <v>6006</v>
      </c>
      <c r="H427" s="137">
        <v>5838</v>
      </c>
      <c r="I427" s="470" t="s">
        <v>1912</v>
      </c>
      <c r="J427" s="470" t="s">
        <v>69</v>
      </c>
      <c r="K427" s="867" t="s">
        <v>1687</v>
      </c>
      <c r="L427" s="154" t="s">
        <v>2</v>
      </c>
      <c r="M427" s="152" t="s">
        <v>1920</v>
      </c>
      <c r="N427" s="139" t="s">
        <v>1921</v>
      </c>
      <c r="O427" s="139" t="s">
        <v>69</v>
      </c>
      <c r="P427" s="139" t="s">
        <v>69</v>
      </c>
      <c r="Q427" s="139" t="s">
        <v>69</v>
      </c>
      <c r="R427" s="139" t="s">
        <v>2340</v>
      </c>
      <c r="S427" s="153"/>
      <c r="T427" s="153"/>
      <c r="V427" s="155"/>
      <c r="Y427" s="139"/>
      <c r="Z427" s="139"/>
    </row>
    <row r="428" spans="1:26" s="152" customFormat="1" x14ac:dyDescent="0.2">
      <c r="A428" s="152" t="s">
        <v>545</v>
      </c>
      <c r="B428" s="139" t="s">
        <v>1872</v>
      </c>
      <c r="C428" s="153" t="s">
        <v>1851</v>
      </c>
      <c r="D428" s="151">
        <v>44.53</v>
      </c>
      <c r="E428" s="151">
        <v>22.05</v>
      </c>
      <c r="F428" s="137">
        <f t="shared" si="24"/>
        <v>6500</v>
      </c>
      <c r="G428" s="137">
        <v>7100</v>
      </c>
      <c r="H428" s="137">
        <v>5900</v>
      </c>
      <c r="I428" s="470" t="s">
        <v>1912</v>
      </c>
      <c r="J428" s="470" t="s">
        <v>1698</v>
      </c>
      <c r="K428" s="867" t="s">
        <v>1687</v>
      </c>
      <c r="L428" s="154" t="s">
        <v>14</v>
      </c>
      <c r="M428" s="152" t="s">
        <v>1922</v>
      </c>
      <c r="N428" s="139" t="s">
        <v>1923</v>
      </c>
      <c r="O428" s="139" t="s">
        <v>69</v>
      </c>
      <c r="P428" s="139" t="s">
        <v>69</v>
      </c>
      <c r="Q428" s="139" t="s">
        <v>69</v>
      </c>
      <c r="R428" s="139"/>
      <c r="S428" s="153"/>
      <c r="T428" s="153"/>
      <c r="V428" s="155"/>
      <c r="Y428" s="139"/>
      <c r="Z428" s="139"/>
    </row>
    <row r="429" spans="1:26" s="152" customFormat="1" x14ac:dyDescent="0.2">
      <c r="A429" s="152" t="s">
        <v>545</v>
      </c>
      <c r="B429" s="139" t="s">
        <v>1865</v>
      </c>
      <c r="C429" s="153" t="s">
        <v>1851</v>
      </c>
      <c r="D429" s="151">
        <v>44.595878999999996</v>
      </c>
      <c r="E429" s="151">
        <v>22.010567999999999</v>
      </c>
      <c r="F429" s="137">
        <f t="shared" si="24"/>
        <v>8382.5</v>
      </c>
      <c r="G429" s="137">
        <v>8535</v>
      </c>
      <c r="H429" s="137">
        <v>8230</v>
      </c>
      <c r="I429" s="470" t="s">
        <v>952</v>
      </c>
      <c r="J429" s="470" t="s">
        <v>575</v>
      </c>
      <c r="K429" s="867" t="s">
        <v>1687</v>
      </c>
      <c r="L429" s="154" t="s">
        <v>2</v>
      </c>
      <c r="M429" s="152" t="s">
        <v>1926</v>
      </c>
      <c r="N429" s="139" t="s">
        <v>1927</v>
      </c>
      <c r="O429" s="139" t="s">
        <v>69</v>
      </c>
      <c r="P429" s="139" t="s">
        <v>69</v>
      </c>
      <c r="Q429" s="139" t="s">
        <v>69</v>
      </c>
      <c r="R429" s="139"/>
      <c r="S429" s="153"/>
      <c r="T429" s="153"/>
      <c r="V429" s="155"/>
      <c r="Y429" s="139"/>
      <c r="Z429" s="139"/>
    </row>
    <row r="430" spans="1:26" s="152" customFormat="1" x14ac:dyDescent="0.2">
      <c r="A430" s="152" t="s">
        <v>545</v>
      </c>
      <c r="B430" s="139" t="s">
        <v>1872</v>
      </c>
      <c r="C430" s="153" t="s">
        <v>1851</v>
      </c>
      <c r="D430" s="151">
        <v>44.53</v>
      </c>
      <c r="E430" s="151">
        <v>22.05</v>
      </c>
      <c r="F430" s="137">
        <f t="shared" si="24"/>
        <v>6505</v>
      </c>
      <c r="G430" s="137">
        <v>6635</v>
      </c>
      <c r="H430" s="137">
        <v>6375</v>
      </c>
      <c r="I430" s="470" t="s">
        <v>952</v>
      </c>
      <c r="J430" s="470" t="s">
        <v>69</v>
      </c>
      <c r="K430" s="867" t="s">
        <v>1687</v>
      </c>
      <c r="L430" s="154" t="s">
        <v>2</v>
      </c>
      <c r="M430" s="152" t="s">
        <v>1928</v>
      </c>
      <c r="N430" s="139" t="s">
        <v>1929</v>
      </c>
      <c r="O430" s="139" t="s">
        <v>69</v>
      </c>
      <c r="P430" s="139" t="s">
        <v>69</v>
      </c>
      <c r="Q430" s="139" t="s">
        <v>69</v>
      </c>
      <c r="R430" s="139"/>
      <c r="S430" s="153"/>
      <c r="T430" s="153"/>
      <c r="V430" s="155"/>
      <c r="Y430" s="139"/>
      <c r="Z430" s="139"/>
    </row>
    <row r="431" spans="1:26" s="152" customFormat="1" x14ac:dyDescent="0.2">
      <c r="A431" s="152" t="s">
        <v>545</v>
      </c>
      <c r="B431" s="139" t="s">
        <v>1865</v>
      </c>
      <c r="C431" s="153" t="s">
        <v>1851</v>
      </c>
      <c r="D431" s="151">
        <v>44.595878999999996</v>
      </c>
      <c r="E431" s="151">
        <v>22.010567999999999</v>
      </c>
      <c r="F431" s="137">
        <f t="shared" si="24"/>
        <v>6051</v>
      </c>
      <c r="G431" s="137">
        <v>6224</v>
      </c>
      <c r="H431" s="137">
        <v>5878</v>
      </c>
      <c r="I431" s="470" t="s">
        <v>1353</v>
      </c>
      <c r="J431" s="470" t="s">
        <v>575</v>
      </c>
      <c r="K431" s="867" t="s">
        <v>1687</v>
      </c>
      <c r="L431" s="154" t="s">
        <v>2</v>
      </c>
      <c r="M431" s="152" t="s">
        <v>1930</v>
      </c>
      <c r="N431" s="139" t="s">
        <v>1931</v>
      </c>
      <c r="O431" s="139" t="s">
        <v>69</v>
      </c>
      <c r="P431" s="139" t="s">
        <v>69</v>
      </c>
      <c r="Q431" s="139" t="s">
        <v>69</v>
      </c>
      <c r="R431" s="139"/>
      <c r="S431" s="153"/>
      <c r="T431" s="153"/>
      <c r="V431" s="155"/>
      <c r="Y431" s="139"/>
      <c r="Z431" s="139"/>
    </row>
    <row r="432" spans="1:26" s="152" customFormat="1" x14ac:dyDescent="0.2">
      <c r="A432" s="152" t="s">
        <v>545</v>
      </c>
      <c r="B432" s="139" t="s">
        <v>1872</v>
      </c>
      <c r="C432" s="153" t="s">
        <v>1851</v>
      </c>
      <c r="D432" s="151">
        <v>44.53</v>
      </c>
      <c r="E432" s="151">
        <v>22.05</v>
      </c>
      <c r="F432" s="137">
        <f t="shared" si="24"/>
        <v>6555</v>
      </c>
      <c r="G432" s="137">
        <v>6645</v>
      </c>
      <c r="H432" s="137">
        <v>6465</v>
      </c>
      <c r="I432" s="470" t="s">
        <v>1353</v>
      </c>
      <c r="J432" s="470" t="s">
        <v>69</v>
      </c>
      <c r="K432" s="867" t="s">
        <v>1687</v>
      </c>
      <c r="L432" s="154" t="s">
        <v>2</v>
      </c>
      <c r="M432" s="152" t="s">
        <v>1932</v>
      </c>
      <c r="N432" s="139" t="s">
        <v>1933</v>
      </c>
      <c r="O432" s="139" t="s">
        <v>69</v>
      </c>
      <c r="P432" s="139" t="s">
        <v>69</v>
      </c>
      <c r="Q432" s="139" t="s">
        <v>69</v>
      </c>
      <c r="R432" s="139"/>
      <c r="S432" s="153"/>
      <c r="T432" s="153"/>
      <c r="V432" s="155"/>
      <c r="Y432" s="139"/>
      <c r="Z432" s="139"/>
    </row>
    <row r="433" spans="1:153" s="152" customFormat="1" x14ac:dyDescent="0.2">
      <c r="A433" s="152" t="s">
        <v>545</v>
      </c>
      <c r="B433" s="139" t="s">
        <v>1872</v>
      </c>
      <c r="C433" s="153" t="s">
        <v>1851</v>
      </c>
      <c r="D433" s="151">
        <v>44.53</v>
      </c>
      <c r="E433" s="151">
        <v>22.05</v>
      </c>
      <c r="F433" s="137">
        <f t="shared" si="24"/>
        <v>6507.5</v>
      </c>
      <c r="G433" s="137">
        <v>6615</v>
      </c>
      <c r="H433" s="137">
        <v>6400</v>
      </c>
      <c r="I433" s="470" t="s">
        <v>1934</v>
      </c>
      <c r="J433" s="470" t="s">
        <v>69</v>
      </c>
      <c r="K433" s="867" t="s">
        <v>1687</v>
      </c>
      <c r="L433" s="154" t="s">
        <v>2</v>
      </c>
      <c r="M433" s="152" t="s">
        <v>1935</v>
      </c>
      <c r="N433" s="139" t="s">
        <v>1936</v>
      </c>
      <c r="O433" s="139" t="s">
        <v>69</v>
      </c>
      <c r="P433" s="139" t="s">
        <v>69</v>
      </c>
      <c r="Q433" s="139" t="s">
        <v>69</v>
      </c>
      <c r="R433" s="139"/>
      <c r="S433" s="153"/>
      <c r="T433" s="153"/>
      <c r="V433" s="155"/>
      <c r="Y433" s="139"/>
      <c r="Z433" s="139"/>
    </row>
    <row r="434" spans="1:153" s="152" customFormat="1" x14ac:dyDescent="0.2">
      <c r="A434" s="152" t="s">
        <v>545</v>
      </c>
      <c r="B434" s="139" t="s">
        <v>1872</v>
      </c>
      <c r="C434" s="153" t="s">
        <v>1851</v>
      </c>
      <c r="D434" s="151">
        <v>44.53</v>
      </c>
      <c r="E434" s="151">
        <v>22.05</v>
      </c>
      <c r="F434" s="137">
        <f t="shared" si="24"/>
        <v>6500</v>
      </c>
      <c r="G434" s="137">
        <v>7100</v>
      </c>
      <c r="H434" s="137">
        <v>5900</v>
      </c>
      <c r="I434" s="470" t="s">
        <v>1608</v>
      </c>
      <c r="J434" s="470" t="s">
        <v>69</v>
      </c>
      <c r="K434" s="867" t="s">
        <v>1687</v>
      </c>
      <c r="L434" s="154" t="s">
        <v>2</v>
      </c>
      <c r="M434" s="152" t="s">
        <v>1937</v>
      </c>
      <c r="N434" s="139" t="s">
        <v>1938</v>
      </c>
      <c r="O434" s="139" t="s">
        <v>69</v>
      </c>
      <c r="P434" s="139" t="s">
        <v>69</v>
      </c>
      <c r="Q434" s="139" t="s">
        <v>69</v>
      </c>
      <c r="R434" s="139"/>
      <c r="S434" s="153"/>
      <c r="T434" s="153"/>
      <c r="V434" s="155"/>
      <c r="Y434" s="139"/>
      <c r="Z434" s="139"/>
    </row>
    <row r="435" spans="1:153" s="152" customFormat="1" x14ac:dyDescent="0.2">
      <c r="A435" s="152" t="s">
        <v>545</v>
      </c>
      <c r="B435" s="139" t="s">
        <v>1872</v>
      </c>
      <c r="C435" s="153" t="s">
        <v>1851</v>
      </c>
      <c r="D435" s="151">
        <v>44.53</v>
      </c>
      <c r="E435" s="151">
        <v>22.05</v>
      </c>
      <c r="F435" s="137">
        <f t="shared" si="24"/>
        <v>6556</v>
      </c>
      <c r="G435" s="137">
        <v>6636</v>
      </c>
      <c r="H435" s="137">
        <v>6476</v>
      </c>
      <c r="I435" s="470" t="s">
        <v>1608</v>
      </c>
      <c r="J435" s="470" t="s">
        <v>69</v>
      </c>
      <c r="K435" s="867" t="s">
        <v>1687</v>
      </c>
      <c r="L435" s="154" t="s">
        <v>2</v>
      </c>
      <c r="M435" s="152" t="s">
        <v>1939</v>
      </c>
      <c r="N435" s="139" t="s">
        <v>1940</v>
      </c>
      <c r="O435" s="139" t="s">
        <v>69</v>
      </c>
      <c r="P435" s="139" t="s">
        <v>69</v>
      </c>
      <c r="Q435" s="139" t="s">
        <v>69</v>
      </c>
      <c r="R435" s="139"/>
      <c r="S435" s="153"/>
      <c r="T435" s="153"/>
      <c r="V435" s="155"/>
      <c r="Y435" s="139"/>
      <c r="Z435" s="139"/>
    </row>
    <row r="436" spans="1:153" s="152" customFormat="1" x14ac:dyDescent="0.2">
      <c r="A436" s="152" t="s">
        <v>545</v>
      </c>
      <c r="B436" s="139" t="s">
        <v>1893</v>
      </c>
      <c r="C436" s="153" t="s">
        <v>1851</v>
      </c>
      <c r="D436" s="151">
        <v>44.640262</v>
      </c>
      <c r="E436" s="151">
        <v>22.303329999999999</v>
      </c>
      <c r="F436" s="137">
        <f t="shared" si="24"/>
        <v>6165</v>
      </c>
      <c r="G436" s="137">
        <v>6340</v>
      </c>
      <c r="H436" s="137">
        <v>5990</v>
      </c>
      <c r="I436" s="470" t="s">
        <v>1200</v>
      </c>
      <c r="J436" s="470" t="s">
        <v>516</v>
      </c>
      <c r="K436" s="867" t="s">
        <v>1687</v>
      </c>
      <c r="L436" s="154" t="s">
        <v>14</v>
      </c>
      <c r="M436" s="152" t="s">
        <v>1941</v>
      </c>
      <c r="N436" s="139" t="s">
        <v>1942</v>
      </c>
      <c r="O436" s="139" t="s">
        <v>69</v>
      </c>
      <c r="P436" s="139" t="s">
        <v>69</v>
      </c>
      <c r="Q436" s="139" t="s">
        <v>69</v>
      </c>
      <c r="R436" s="139"/>
      <c r="S436" s="153"/>
      <c r="T436" s="153"/>
      <c r="V436" s="155"/>
      <c r="Y436" s="139"/>
      <c r="Z436" s="139"/>
    </row>
    <row r="437" spans="1:153" s="152" customFormat="1" x14ac:dyDescent="0.2">
      <c r="A437" s="152" t="s">
        <v>545</v>
      </c>
      <c r="B437" s="139" t="s">
        <v>1893</v>
      </c>
      <c r="C437" s="153" t="s">
        <v>1851</v>
      </c>
      <c r="D437" s="151">
        <v>44.640262</v>
      </c>
      <c r="E437" s="151">
        <v>22.303329999999999</v>
      </c>
      <c r="F437" s="137">
        <f t="shared" si="24"/>
        <v>6812.5</v>
      </c>
      <c r="G437" s="137">
        <v>7035</v>
      </c>
      <c r="H437" s="137">
        <v>6590</v>
      </c>
      <c r="I437" s="470" t="s">
        <v>1200</v>
      </c>
      <c r="J437" s="470" t="s">
        <v>1943</v>
      </c>
      <c r="K437" s="867" t="s">
        <v>1687</v>
      </c>
      <c r="L437" s="154" t="s">
        <v>14</v>
      </c>
      <c r="M437" s="152" t="s">
        <v>1944</v>
      </c>
      <c r="N437" s="139" t="s">
        <v>1945</v>
      </c>
      <c r="O437" s="139" t="s">
        <v>69</v>
      </c>
      <c r="P437" s="139" t="s">
        <v>69</v>
      </c>
      <c r="Q437" s="139" t="s">
        <v>69</v>
      </c>
      <c r="R437" s="139"/>
      <c r="S437" s="153"/>
      <c r="T437" s="153"/>
      <c r="V437" s="155"/>
      <c r="Y437" s="139"/>
      <c r="Z437" s="139"/>
    </row>
    <row r="438" spans="1:153" s="152" customFormat="1" x14ac:dyDescent="0.2">
      <c r="A438" s="152" t="s">
        <v>545</v>
      </c>
      <c r="B438" s="139" t="s">
        <v>1865</v>
      </c>
      <c r="C438" s="153" t="s">
        <v>1851</v>
      </c>
      <c r="D438" s="151">
        <v>44.595878999999996</v>
      </c>
      <c r="E438" s="151">
        <v>22.010567999999999</v>
      </c>
      <c r="F438" s="137">
        <f t="shared" si="24"/>
        <v>8884.5</v>
      </c>
      <c r="G438" s="137">
        <v>9221</v>
      </c>
      <c r="H438" s="137">
        <v>8548</v>
      </c>
      <c r="I438" s="470" t="s">
        <v>1223</v>
      </c>
      <c r="J438" s="470" t="s">
        <v>1698</v>
      </c>
      <c r="K438" s="867" t="s">
        <v>1687</v>
      </c>
      <c r="L438" s="154" t="s">
        <v>14</v>
      </c>
      <c r="M438" s="152" t="s">
        <v>1946</v>
      </c>
      <c r="N438" s="139" t="s">
        <v>1947</v>
      </c>
      <c r="O438" s="139" t="s">
        <v>69</v>
      </c>
      <c r="P438" s="139" t="s">
        <v>69</v>
      </c>
      <c r="Q438" s="139" t="s">
        <v>69</v>
      </c>
      <c r="R438" s="139"/>
      <c r="S438" s="153"/>
      <c r="T438" s="153"/>
      <c r="V438" s="155"/>
      <c r="Y438" s="139"/>
      <c r="Z438" s="139"/>
    </row>
    <row r="439" spans="1:153" s="152" customFormat="1" ht="13.9" customHeight="1" x14ac:dyDescent="0.2">
      <c r="A439" s="152" t="s">
        <v>545</v>
      </c>
      <c r="B439" s="139" t="s">
        <v>1872</v>
      </c>
      <c r="C439" s="153" t="s">
        <v>1851</v>
      </c>
      <c r="D439" s="151">
        <v>44.53</v>
      </c>
      <c r="E439" s="151">
        <v>22.05</v>
      </c>
      <c r="F439" s="137">
        <f t="shared" si="24"/>
        <v>7762.5</v>
      </c>
      <c r="G439" s="137">
        <v>7940</v>
      </c>
      <c r="H439" s="137">
        <v>7585</v>
      </c>
      <c r="I439" s="470" t="s">
        <v>835</v>
      </c>
      <c r="J439" s="470" t="s">
        <v>69</v>
      </c>
      <c r="K439" s="867" t="s">
        <v>1687</v>
      </c>
      <c r="L439" s="154" t="s">
        <v>2</v>
      </c>
      <c r="M439" s="152" t="s">
        <v>1948</v>
      </c>
      <c r="N439" s="139" t="s">
        <v>1949</v>
      </c>
      <c r="O439" s="139" t="s">
        <v>69</v>
      </c>
      <c r="P439" s="139" t="s">
        <v>69</v>
      </c>
      <c r="Q439" s="139" t="s">
        <v>69</v>
      </c>
      <c r="R439" s="139"/>
      <c r="S439" s="153"/>
      <c r="T439" s="153"/>
      <c r="V439" s="155"/>
      <c r="Y439" s="139"/>
      <c r="Z439" s="139"/>
    </row>
    <row r="440" spans="1:153" s="152" customFormat="1" ht="13.15" customHeight="1" x14ac:dyDescent="0.2">
      <c r="A440" s="152" t="s">
        <v>2295</v>
      </c>
      <c r="B440" s="152" t="s">
        <v>1855</v>
      </c>
      <c r="C440" s="156" t="s">
        <v>1851</v>
      </c>
      <c r="D440" s="157">
        <v>44.552923999999997</v>
      </c>
      <c r="E440" s="157">
        <v>22.027563000000001</v>
      </c>
      <c r="F440" s="158">
        <f>(G440+H440)/2</f>
        <v>6491.5</v>
      </c>
      <c r="G440" s="159">
        <v>6588</v>
      </c>
      <c r="H440" s="159">
        <v>6395</v>
      </c>
      <c r="I440" s="471" t="s">
        <v>1480</v>
      </c>
      <c r="J440" s="497" t="s">
        <v>69</v>
      </c>
      <c r="K440" s="866" t="s">
        <v>1687</v>
      </c>
      <c r="L440" s="159" t="s">
        <v>14</v>
      </c>
      <c r="M440" s="156" t="s">
        <v>2254</v>
      </c>
      <c r="N440" s="139" t="s">
        <v>69</v>
      </c>
      <c r="O440" s="139" t="s">
        <v>69</v>
      </c>
      <c r="P440" s="139" t="s">
        <v>69</v>
      </c>
      <c r="Q440" s="139" t="s">
        <v>69</v>
      </c>
      <c r="R440" s="139" t="s">
        <v>4081</v>
      </c>
      <c r="S440" s="153"/>
      <c r="T440" s="153"/>
      <c r="U440" s="153"/>
      <c r="V440" s="153"/>
      <c r="W440" s="153"/>
      <c r="X440" s="153"/>
      <c r="Y440" s="153"/>
      <c r="Z440" s="153"/>
      <c r="AA440" s="153"/>
      <c r="AB440" s="153"/>
      <c r="AC440" s="153"/>
      <c r="AD440" s="153"/>
      <c r="AE440" s="153"/>
      <c r="AF440" s="153"/>
      <c r="AG440" s="153"/>
      <c r="AH440" s="153"/>
      <c r="AI440" s="153"/>
      <c r="AJ440" s="153"/>
      <c r="AK440" s="153"/>
      <c r="AL440" s="153"/>
      <c r="AM440" s="153"/>
      <c r="AN440" s="153"/>
      <c r="AO440" s="153"/>
      <c r="AP440" s="153"/>
      <c r="AQ440" s="153"/>
      <c r="AR440" s="153"/>
      <c r="AS440" s="153"/>
      <c r="AT440" s="153"/>
      <c r="AU440" s="153"/>
      <c r="AV440" s="153"/>
      <c r="AW440" s="153"/>
      <c r="AX440" s="153"/>
      <c r="AY440" s="153"/>
      <c r="AZ440" s="153"/>
      <c r="BA440" s="153"/>
      <c r="BB440" s="153"/>
      <c r="BC440" s="153"/>
      <c r="BD440" s="153"/>
      <c r="BE440" s="153"/>
      <c r="BF440" s="153"/>
      <c r="BG440" s="153"/>
      <c r="BH440" s="153"/>
      <c r="BI440" s="153"/>
      <c r="BJ440" s="153"/>
      <c r="BK440" s="153"/>
      <c r="BL440" s="153"/>
      <c r="BM440" s="153"/>
      <c r="BN440" s="153"/>
      <c r="BO440" s="153"/>
      <c r="BP440" s="153"/>
      <c r="BQ440" s="153"/>
      <c r="BR440" s="153"/>
      <c r="BS440" s="153"/>
      <c r="BT440" s="153"/>
      <c r="BU440" s="153"/>
      <c r="BV440" s="153"/>
      <c r="BW440" s="153"/>
      <c r="BX440" s="153"/>
      <c r="BY440" s="153"/>
      <c r="BZ440" s="153"/>
      <c r="CA440" s="153"/>
      <c r="CB440" s="153"/>
      <c r="CC440" s="153"/>
      <c r="CD440" s="153"/>
      <c r="CE440" s="153"/>
      <c r="CF440" s="153"/>
      <c r="CG440" s="153"/>
      <c r="CH440" s="153"/>
      <c r="CI440" s="153"/>
      <c r="CJ440" s="153"/>
      <c r="CK440" s="153"/>
      <c r="CL440" s="153"/>
      <c r="CM440" s="153"/>
      <c r="CN440" s="153"/>
      <c r="CO440" s="153"/>
      <c r="CP440" s="153"/>
      <c r="CQ440" s="153"/>
      <c r="CR440" s="153"/>
      <c r="CS440" s="153"/>
      <c r="CT440" s="153"/>
      <c r="CU440" s="153"/>
      <c r="CV440" s="153"/>
      <c r="CW440" s="153"/>
      <c r="CX440" s="153"/>
      <c r="CY440" s="153"/>
      <c r="CZ440" s="153"/>
      <c r="DA440" s="153"/>
      <c r="DB440" s="153"/>
      <c r="DC440" s="153"/>
      <c r="DD440" s="153"/>
      <c r="DE440" s="153"/>
      <c r="DF440" s="153"/>
      <c r="DG440" s="153"/>
      <c r="DH440" s="153"/>
      <c r="DI440" s="153"/>
      <c r="DJ440" s="153"/>
      <c r="DK440" s="153"/>
      <c r="DL440" s="153"/>
      <c r="DM440" s="153"/>
      <c r="DN440" s="153"/>
      <c r="DO440" s="153"/>
      <c r="DP440" s="153"/>
      <c r="DQ440" s="153"/>
      <c r="DR440" s="153"/>
      <c r="DS440" s="153"/>
      <c r="DT440" s="153"/>
      <c r="DU440" s="153"/>
      <c r="DV440" s="153"/>
      <c r="DW440" s="153"/>
      <c r="DX440" s="153"/>
      <c r="DY440" s="153"/>
      <c r="DZ440" s="153"/>
      <c r="EA440" s="153"/>
      <c r="EB440" s="153"/>
      <c r="EC440" s="153"/>
      <c r="ED440" s="153"/>
      <c r="EE440" s="153"/>
      <c r="EF440" s="153"/>
      <c r="EG440" s="153"/>
      <c r="EH440" s="153"/>
      <c r="EI440" s="153"/>
      <c r="EJ440" s="153"/>
      <c r="EK440" s="153"/>
      <c r="EL440" s="153"/>
      <c r="EM440" s="153"/>
      <c r="EN440" s="153"/>
      <c r="EO440" s="153"/>
      <c r="EP440" s="153"/>
      <c r="EQ440" s="153"/>
      <c r="ER440" s="153"/>
      <c r="ES440" s="153"/>
      <c r="ET440" s="153"/>
      <c r="EU440" s="153"/>
      <c r="EV440" s="153"/>
      <c r="EW440" s="153"/>
    </row>
    <row r="441" spans="1:153" s="152" customFormat="1" x14ac:dyDescent="0.2">
      <c r="A441" s="152" t="s">
        <v>4080</v>
      </c>
      <c r="B441" s="152" t="s">
        <v>1855</v>
      </c>
      <c r="C441" s="156" t="s">
        <v>1851</v>
      </c>
      <c r="D441" s="157">
        <v>44.552923999999997</v>
      </c>
      <c r="E441" s="157">
        <v>22.027563000000001</v>
      </c>
      <c r="F441" s="158">
        <f>(G441+H441)/2</f>
        <v>7755.5</v>
      </c>
      <c r="G441" s="158">
        <v>7940</v>
      </c>
      <c r="H441" s="158">
        <v>7571</v>
      </c>
      <c r="I441" s="471" t="s">
        <v>1620</v>
      </c>
      <c r="J441" s="497" t="s">
        <v>69</v>
      </c>
      <c r="K441" s="866" t="s">
        <v>1687</v>
      </c>
      <c r="L441" s="159" t="s">
        <v>2</v>
      </c>
      <c r="M441" s="156" t="s">
        <v>2255</v>
      </c>
      <c r="N441" s="139" t="s">
        <v>69</v>
      </c>
      <c r="O441" s="139" t="s">
        <v>69</v>
      </c>
      <c r="P441" s="139" t="s">
        <v>69</v>
      </c>
      <c r="Q441" s="139" t="s">
        <v>69</v>
      </c>
      <c r="R441" s="139" t="s">
        <v>4083</v>
      </c>
      <c r="S441" s="153"/>
      <c r="T441" s="153"/>
      <c r="U441" s="153"/>
      <c r="V441" s="153"/>
      <c r="W441" s="153"/>
      <c r="X441" s="153"/>
      <c r="Y441" s="153"/>
      <c r="Z441" s="153"/>
      <c r="AA441" s="153"/>
      <c r="AB441" s="153"/>
      <c r="AC441" s="153"/>
      <c r="AD441" s="153"/>
      <c r="AE441" s="153"/>
      <c r="AF441" s="153"/>
      <c r="AG441" s="153"/>
      <c r="AH441" s="153"/>
      <c r="AI441" s="153"/>
      <c r="AJ441" s="153"/>
      <c r="AK441" s="153"/>
      <c r="AL441" s="153"/>
      <c r="AM441" s="153"/>
      <c r="AN441" s="153"/>
      <c r="AO441" s="153"/>
      <c r="AP441" s="153"/>
      <c r="AQ441" s="153"/>
      <c r="AR441" s="153"/>
      <c r="AS441" s="153"/>
      <c r="AT441" s="153"/>
      <c r="AU441" s="153"/>
      <c r="AV441" s="153"/>
      <c r="AW441" s="153"/>
      <c r="AX441" s="153"/>
      <c r="AY441" s="153"/>
      <c r="AZ441" s="153"/>
      <c r="BA441" s="153"/>
      <c r="BB441" s="153"/>
      <c r="BC441" s="153"/>
      <c r="BD441" s="153"/>
      <c r="BE441" s="153"/>
      <c r="BF441" s="153"/>
      <c r="BG441" s="153"/>
      <c r="BH441" s="153"/>
      <c r="BI441" s="153"/>
      <c r="BJ441" s="153"/>
      <c r="BK441" s="153"/>
      <c r="BL441" s="153"/>
      <c r="BM441" s="153"/>
      <c r="BN441" s="153"/>
      <c r="BO441" s="153"/>
      <c r="BP441" s="153"/>
      <c r="BQ441" s="153"/>
      <c r="BR441" s="153"/>
      <c r="BS441" s="153"/>
      <c r="BT441" s="153"/>
      <c r="BU441" s="153"/>
      <c r="BV441" s="153"/>
      <c r="BW441" s="153"/>
      <c r="BX441" s="153"/>
      <c r="BY441" s="153"/>
      <c r="BZ441" s="153"/>
      <c r="CA441" s="153"/>
      <c r="CB441" s="153"/>
      <c r="CC441" s="153"/>
      <c r="CD441" s="153"/>
      <c r="CE441" s="153"/>
      <c r="CF441" s="153"/>
      <c r="CG441" s="153"/>
      <c r="CH441" s="153"/>
      <c r="CI441" s="153"/>
      <c r="CJ441" s="153"/>
      <c r="CK441" s="153"/>
      <c r="CL441" s="153"/>
      <c r="CM441" s="153"/>
      <c r="CN441" s="153"/>
      <c r="CO441" s="153"/>
      <c r="CP441" s="153"/>
      <c r="CQ441" s="153"/>
      <c r="CR441" s="153"/>
      <c r="CS441" s="153"/>
      <c r="CT441" s="153"/>
      <c r="CU441" s="153"/>
      <c r="CV441" s="153"/>
      <c r="CW441" s="153"/>
      <c r="CX441" s="153"/>
      <c r="CY441" s="153"/>
      <c r="CZ441" s="153"/>
      <c r="DA441" s="153"/>
      <c r="DB441" s="153"/>
      <c r="DC441" s="153"/>
      <c r="DD441" s="153"/>
      <c r="DE441" s="153"/>
      <c r="DF441" s="153"/>
      <c r="DG441" s="153"/>
      <c r="DH441" s="153"/>
      <c r="DI441" s="153"/>
      <c r="DJ441" s="153"/>
      <c r="DK441" s="153"/>
      <c r="DL441" s="153"/>
      <c r="DM441" s="153"/>
      <c r="DN441" s="153"/>
      <c r="DO441" s="153"/>
      <c r="DP441" s="153"/>
      <c r="DQ441" s="153"/>
      <c r="DR441" s="153"/>
      <c r="DS441" s="153"/>
      <c r="DT441" s="153"/>
      <c r="DU441" s="153"/>
      <c r="DV441" s="153"/>
      <c r="DW441" s="153"/>
      <c r="DX441" s="153"/>
      <c r="DY441" s="153"/>
      <c r="DZ441" s="153"/>
      <c r="EA441" s="153"/>
      <c r="EB441" s="153"/>
      <c r="EC441" s="153"/>
      <c r="ED441" s="153"/>
      <c r="EE441" s="153"/>
      <c r="EF441" s="153"/>
      <c r="EG441" s="153"/>
      <c r="EH441" s="153"/>
      <c r="EI441" s="153"/>
      <c r="EJ441" s="153"/>
      <c r="EK441" s="153"/>
      <c r="EL441" s="153"/>
      <c r="EM441" s="153"/>
      <c r="EN441" s="153"/>
      <c r="EO441" s="153"/>
      <c r="EP441" s="153"/>
      <c r="EQ441" s="153"/>
      <c r="ER441" s="153"/>
      <c r="ES441" s="153"/>
      <c r="ET441" s="153"/>
      <c r="EU441" s="153"/>
      <c r="EV441" s="153"/>
      <c r="EW441" s="153"/>
    </row>
    <row r="442" spans="1:153" s="152" customFormat="1" x14ac:dyDescent="0.2">
      <c r="A442" s="152" t="s">
        <v>4084</v>
      </c>
      <c r="B442" s="139" t="s">
        <v>1872</v>
      </c>
      <c r="C442" s="152" t="s">
        <v>1851</v>
      </c>
      <c r="D442" s="154">
        <v>44.53</v>
      </c>
      <c r="E442" s="154">
        <v>22.05</v>
      </c>
      <c r="F442" s="137">
        <f>(G442+H442)/2</f>
        <v>6614</v>
      </c>
      <c r="G442" s="154">
        <v>6767</v>
      </c>
      <c r="H442" s="154">
        <v>6461</v>
      </c>
      <c r="I442" s="474" t="s">
        <v>4326</v>
      </c>
      <c r="J442" s="499" t="s">
        <v>2248</v>
      </c>
      <c r="K442" s="868" t="s">
        <v>1687</v>
      </c>
      <c r="L442" s="154" t="s">
        <v>14</v>
      </c>
      <c r="M442" s="152" t="s">
        <v>2346</v>
      </c>
      <c r="N442" s="139" t="s">
        <v>69</v>
      </c>
      <c r="O442" s="139" t="s">
        <v>69</v>
      </c>
      <c r="P442" s="139" t="s">
        <v>69</v>
      </c>
      <c r="Q442" s="139" t="s">
        <v>69</v>
      </c>
      <c r="R442" s="478" t="s">
        <v>4327</v>
      </c>
      <c r="S442" s="139" t="s">
        <v>4081</v>
      </c>
      <c r="T442" s="153"/>
      <c r="U442" s="153"/>
      <c r="V442" s="153"/>
      <c r="W442" s="153"/>
      <c r="X442" s="153"/>
      <c r="Y442" s="153"/>
      <c r="Z442" s="153"/>
      <c r="AA442" s="153"/>
      <c r="AB442" s="153"/>
      <c r="AC442" s="153"/>
      <c r="AD442" s="153"/>
      <c r="AE442" s="153"/>
      <c r="AF442" s="153"/>
      <c r="AG442" s="153"/>
      <c r="AH442" s="153"/>
      <c r="AI442" s="153"/>
      <c r="AJ442" s="153"/>
      <c r="AK442" s="153"/>
      <c r="AL442" s="153"/>
      <c r="AM442" s="153"/>
      <c r="AN442" s="153"/>
      <c r="AO442" s="153"/>
      <c r="AP442" s="153"/>
      <c r="AQ442" s="153"/>
      <c r="AR442" s="153"/>
      <c r="AS442" s="153"/>
      <c r="AT442" s="153"/>
      <c r="AU442" s="153"/>
      <c r="AV442" s="153"/>
      <c r="AW442" s="153"/>
      <c r="AX442" s="153"/>
      <c r="AY442" s="153"/>
      <c r="AZ442" s="153"/>
      <c r="BA442" s="153"/>
      <c r="BB442" s="153"/>
      <c r="BC442" s="153"/>
      <c r="BD442" s="153"/>
      <c r="BE442" s="153"/>
      <c r="BF442" s="153"/>
      <c r="BG442" s="153"/>
      <c r="BH442" s="153"/>
      <c r="BI442" s="153"/>
      <c r="BJ442" s="153"/>
      <c r="BK442" s="153"/>
      <c r="BL442" s="153"/>
      <c r="BM442" s="153"/>
      <c r="BN442" s="153"/>
      <c r="BO442" s="153"/>
      <c r="BP442" s="153"/>
      <c r="BQ442" s="153"/>
      <c r="BR442" s="153"/>
      <c r="BS442" s="153"/>
      <c r="BT442" s="153"/>
      <c r="BU442" s="153"/>
      <c r="BV442" s="153"/>
      <c r="BW442" s="153"/>
      <c r="BX442" s="153"/>
      <c r="BY442" s="153"/>
      <c r="BZ442" s="153"/>
      <c r="CA442" s="153"/>
      <c r="CB442" s="153"/>
      <c r="CC442" s="153"/>
      <c r="CD442" s="153"/>
      <c r="CE442" s="153"/>
      <c r="CF442" s="153"/>
      <c r="CG442" s="153"/>
      <c r="CH442" s="153"/>
      <c r="CI442" s="153"/>
      <c r="CJ442" s="153"/>
      <c r="CK442" s="153"/>
      <c r="CL442" s="153"/>
      <c r="CM442" s="153"/>
      <c r="CN442" s="153"/>
      <c r="CO442" s="153"/>
      <c r="CP442" s="153"/>
      <c r="CQ442" s="153"/>
      <c r="CR442" s="153"/>
      <c r="CS442" s="153"/>
      <c r="CT442" s="153"/>
      <c r="CU442" s="153"/>
      <c r="CV442" s="153"/>
      <c r="CW442" s="153"/>
      <c r="CX442" s="153"/>
      <c r="CY442" s="153"/>
      <c r="CZ442" s="153"/>
      <c r="DA442" s="153"/>
      <c r="DB442" s="153"/>
      <c r="DC442" s="153"/>
      <c r="DD442" s="153"/>
      <c r="DE442" s="153"/>
      <c r="DF442" s="153"/>
      <c r="DG442" s="153"/>
      <c r="DH442" s="153"/>
      <c r="DI442" s="153"/>
      <c r="DJ442" s="153"/>
      <c r="DK442" s="153"/>
      <c r="DL442" s="153"/>
      <c r="DM442" s="153"/>
      <c r="DN442" s="153"/>
      <c r="DO442" s="153"/>
      <c r="DP442" s="153"/>
      <c r="DQ442" s="153"/>
      <c r="DR442" s="153"/>
      <c r="DS442" s="153"/>
      <c r="DT442" s="153"/>
      <c r="DU442" s="153"/>
      <c r="DV442" s="153"/>
      <c r="DW442" s="153"/>
      <c r="DX442" s="153"/>
      <c r="DY442" s="153"/>
      <c r="DZ442" s="153"/>
      <c r="EA442" s="153"/>
      <c r="EB442" s="153"/>
      <c r="EC442" s="153"/>
      <c r="ED442" s="153"/>
      <c r="EE442" s="153"/>
      <c r="EF442" s="153"/>
      <c r="EG442" s="153"/>
      <c r="EH442" s="153"/>
      <c r="EI442" s="153"/>
      <c r="EJ442" s="153"/>
      <c r="EK442" s="153"/>
      <c r="EL442" s="153"/>
      <c r="EM442" s="153"/>
      <c r="EN442" s="153"/>
      <c r="EO442" s="153"/>
      <c r="EP442" s="153"/>
      <c r="EQ442" s="153"/>
      <c r="ER442" s="153"/>
      <c r="ES442" s="153"/>
      <c r="ET442" s="153"/>
      <c r="EU442" s="153"/>
      <c r="EV442" s="153"/>
      <c r="EW442" s="153"/>
    </row>
    <row r="443" spans="1:153" s="152" customFormat="1" ht="15" customHeight="1" x14ac:dyDescent="0.2">
      <c r="A443" s="152" t="s">
        <v>4080</v>
      </c>
      <c r="B443" s="152" t="s">
        <v>1872</v>
      </c>
      <c r="C443" s="156" t="s">
        <v>1851</v>
      </c>
      <c r="D443" s="157">
        <v>44.53</v>
      </c>
      <c r="E443" s="157">
        <v>22.05</v>
      </c>
      <c r="F443" s="158">
        <f>(G443+H443)/2</f>
        <v>6800</v>
      </c>
      <c r="G443" s="159">
        <v>7400</v>
      </c>
      <c r="H443" s="159">
        <v>6200</v>
      </c>
      <c r="I443" s="475" t="s">
        <v>4326</v>
      </c>
      <c r="J443" s="497" t="s">
        <v>69</v>
      </c>
      <c r="K443" s="866" t="s">
        <v>4563</v>
      </c>
      <c r="L443" s="159" t="s">
        <v>14</v>
      </c>
      <c r="M443" s="156" t="s">
        <v>2257</v>
      </c>
      <c r="N443" s="139" t="s">
        <v>69</v>
      </c>
      <c r="O443" s="139" t="s">
        <v>69</v>
      </c>
      <c r="P443" s="139" t="s">
        <v>69</v>
      </c>
      <c r="Q443" s="139" t="s">
        <v>69</v>
      </c>
      <c r="R443" s="478" t="s">
        <v>4327</v>
      </c>
      <c r="S443" s="139" t="s">
        <v>4081</v>
      </c>
      <c r="T443" s="153"/>
      <c r="U443" s="153"/>
      <c r="V443" s="153"/>
      <c r="W443" s="153"/>
      <c r="X443" s="153"/>
      <c r="Y443" s="153"/>
      <c r="Z443" s="153"/>
      <c r="AA443" s="153"/>
      <c r="AB443" s="153"/>
      <c r="AC443" s="153"/>
      <c r="AD443" s="153"/>
      <c r="AE443" s="153"/>
      <c r="AF443" s="153"/>
      <c r="AG443" s="153"/>
      <c r="AH443" s="153"/>
      <c r="AI443" s="153"/>
      <c r="AJ443" s="153"/>
      <c r="AK443" s="153"/>
      <c r="AL443" s="153"/>
      <c r="AM443" s="153"/>
      <c r="AN443" s="153"/>
      <c r="AO443" s="153"/>
      <c r="AP443" s="153"/>
      <c r="AQ443" s="153"/>
      <c r="AR443" s="153"/>
      <c r="AS443" s="153"/>
      <c r="AT443" s="153"/>
      <c r="AU443" s="153"/>
      <c r="AV443" s="153"/>
      <c r="AW443" s="153"/>
      <c r="AX443" s="153"/>
      <c r="AY443" s="153"/>
      <c r="AZ443" s="153"/>
      <c r="BA443" s="153"/>
      <c r="BB443" s="153"/>
      <c r="BC443" s="153"/>
      <c r="BD443" s="153"/>
      <c r="BE443" s="153"/>
      <c r="BF443" s="153"/>
      <c r="BG443" s="153"/>
      <c r="BH443" s="153"/>
      <c r="BI443" s="153"/>
      <c r="BJ443" s="153"/>
      <c r="BK443" s="153"/>
      <c r="BL443" s="153"/>
      <c r="BM443" s="153"/>
      <c r="BN443" s="153"/>
      <c r="BO443" s="153"/>
      <c r="BP443" s="153"/>
      <c r="BQ443" s="153"/>
      <c r="BR443" s="153"/>
      <c r="BS443" s="153"/>
      <c r="BT443" s="153"/>
      <c r="BU443" s="153"/>
      <c r="BV443" s="153"/>
      <c r="BW443" s="153"/>
      <c r="BX443" s="153"/>
      <c r="BY443" s="153"/>
      <c r="BZ443" s="153"/>
      <c r="CA443" s="153"/>
      <c r="CB443" s="153"/>
      <c r="CC443" s="153"/>
      <c r="CD443" s="153"/>
      <c r="CE443" s="153"/>
      <c r="CF443" s="153"/>
      <c r="CG443" s="153"/>
      <c r="CH443" s="153"/>
      <c r="CI443" s="153"/>
      <c r="CJ443" s="153"/>
      <c r="CK443" s="153"/>
      <c r="CL443" s="153"/>
      <c r="CM443" s="153"/>
      <c r="CN443" s="153"/>
      <c r="CO443" s="153"/>
      <c r="CP443" s="153"/>
      <c r="CQ443" s="153"/>
      <c r="CR443" s="153"/>
      <c r="CS443" s="153"/>
      <c r="CT443" s="153"/>
      <c r="CU443" s="153"/>
      <c r="CV443" s="153"/>
      <c r="CW443" s="153"/>
      <c r="CX443" s="153"/>
      <c r="CY443" s="153"/>
      <c r="CZ443" s="153"/>
      <c r="DA443" s="153"/>
      <c r="DB443" s="153"/>
      <c r="DC443" s="153"/>
      <c r="DD443" s="153"/>
      <c r="DE443" s="153"/>
      <c r="DF443" s="153"/>
      <c r="DG443" s="153"/>
      <c r="DH443" s="153"/>
      <c r="DI443" s="153"/>
      <c r="DJ443" s="153"/>
      <c r="DK443" s="153"/>
      <c r="DL443" s="153"/>
      <c r="DM443" s="153"/>
      <c r="DN443" s="153"/>
      <c r="DO443" s="153"/>
      <c r="DP443" s="153"/>
      <c r="DQ443" s="153"/>
      <c r="DR443" s="153"/>
      <c r="DS443" s="153"/>
      <c r="DT443" s="153"/>
      <c r="DU443" s="153"/>
      <c r="DV443" s="153"/>
      <c r="DW443" s="153"/>
      <c r="DX443" s="153"/>
      <c r="DY443" s="153"/>
      <c r="DZ443" s="153"/>
      <c r="EA443" s="153"/>
      <c r="EB443" s="153"/>
      <c r="EC443" s="153"/>
      <c r="ED443" s="153"/>
      <c r="EE443" s="153"/>
      <c r="EF443" s="153"/>
      <c r="EG443" s="153"/>
      <c r="EH443" s="153"/>
      <c r="EI443" s="153"/>
      <c r="EJ443" s="153"/>
      <c r="EK443" s="153"/>
      <c r="EL443" s="153"/>
      <c r="EM443" s="153"/>
      <c r="EN443" s="153"/>
      <c r="EO443" s="153"/>
      <c r="EP443" s="153"/>
      <c r="EQ443" s="153"/>
      <c r="ER443" s="153"/>
      <c r="ES443" s="153"/>
      <c r="ET443" s="153"/>
      <c r="EU443" s="153"/>
      <c r="EV443" s="153"/>
      <c r="EW443" s="153"/>
    </row>
    <row r="444" spans="1:153" s="152" customFormat="1" x14ac:dyDescent="0.2">
      <c r="A444" s="152" t="s">
        <v>4080</v>
      </c>
      <c r="B444" s="152" t="s">
        <v>1872</v>
      </c>
      <c r="C444" s="156" t="s">
        <v>1851</v>
      </c>
      <c r="D444" s="157">
        <v>44.53</v>
      </c>
      <c r="E444" s="157">
        <v>22.05</v>
      </c>
      <c r="F444" s="158">
        <f t="shared" ref="F444:F446" si="25">(G444+H444)/2</f>
        <v>6800</v>
      </c>
      <c r="G444" s="159">
        <v>7400</v>
      </c>
      <c r="H444" s="159">
        <v>6200</v>
      </c>
      <c r="I444" s="471" t="s">
        <v>617</v>
      </c>
      <c r="J444" s="497" t="s">
        <v>69</v>
      </c>
      <c r="K444" s="866" t="s">
        <v>4563</v>
      </c>
      <c r="L444" s="159" t="s">
        <v>14</v>
      </c>
      <c r="M444" s="156" t="s">
        <v>2258</v>
      </c>
      <c r="N444" s="139" t="s">
        <v>69</v>
      </c>
      <c r="O444" s="139" t="s">
        <v>69</v>
      </c>
      <c r="P444" s="139" t="s">
        <v>69</v>
      </c>
      <c r="Q444" s="139" t="s">
        <v>69</v>
      </c>
      <c r="R444" s="139" t="s">
        <v>4081</v>
      </c>
      <c r="S444" s="153"/>
      <c r="T444" s="153"/>
      <c r="U444" s="153"/>
      <c r="V444" s="153"/>
      <c r="W444" s="153"/>
      <c r="X444" s="153"/>
      <c r="Y444" s="153"/>
      <c r="Z444" s="153"/>
      <c r="AA444" s="153"/>
      <c r="AB444" s="153"/>
      <c r="AC444" s="153"/>
      <c r="AD444" s="153"/>
      <c r="AE444" s="153"/>
      <c r="AF444" s="153"/>
      <c r="AG444" s="153"/>
      <c r="AH444" s="153"/>
      <c r="AI444" s="153"/>
      <c r="AJ444" s="153"/>
      <c r="AK444" s="153"/>
      <c r="AL444" s="153"/>
      <c r="AM444" s="153"/>
      <c r="AN444" s="153"/>
      <c r="AO444" s="153"/>
      <c r="AP444" s="153"/>
      <c r="AQ444" s="153"/>
      <c r="AR444" s="153"/>
      <c r="AS444" s="153"/>
      <c r="AT444" s="153"/>
      <c r="AU444" s="153"/>
      <c r="AV444" s="153"/>
      <c r="AW444" s="153"/>
      <c r="AX444" s="153"/>
      <c r="AY444" s="153"/>
      <c r="AZ444" s="153"/>
      <c r="BA444" s="153"/>
      <c r="BB444" s="153"/>
      <c r="BC444" s="153"/>
      <c r="BD444" s="153"/>
      <c r="BE444" s="153"/>
      <c r="BF444" s="153"/>
      <c r="BG444" s="153"/>
      <c r="BH444" s="153"/>
      <c r="BI444" s="153"/>
      <c r="BJ444" s="153"/>
      <c r="BK444" s="153"/>
      <c r="BL444" s="153"/>
      <c r="BM444" s="153"/>
      <c r="BN444" s="153"/>
      <c r="BO444" s="153"/>
      <c r="BP444" s="153"/>
      <c r="BQ444" s="153"/>
      <c r="BR444" s="153"/>
      <c r="BS444" s="153"/>
      <c r="BT444" s="153"/>
      <c r="BU444" s="153"/>
      <c r="BV444" s="153"/>
      <c r="BW444" s="153"/>
      <c r="BX444" s="153"/>
      <c r="BY444" s="153"/>
      <c r="BZ444" s="153"/>
      <c r="CA444" s="153"/>
      <c r="CB444" s="153"/>
      <c r="CC444" s="153"/>
      <c r="CD444" s="153"/>
      <c r="CE444" s="153"/>
      <c r="CF444" s="153"/>
      <c r="CG444" s="153"/>
      <c r="CH444" s="153"/>
      <c r="CI444" s="153"/>
      <c r="CJ444" s="153"/>
      <c r="CK444" s="153"/>
      <c r="CL444" s="153"/>
      <c r="CM444" s="153"/>
      <c r="CN444" s="153"/>
      <c r="CO444" s="153"/>
      <c r="CP444" s="153"/>
      <c r="CQ444" s="153"/>
      <c r="CR444" s="153"/>
      <c r="CS444" s="153"/>
      <c r="CT444" s="153"/>
      <c r="CU444" s="153"/>
      <c r="CV444" s="153"/>
      <c r="CW444" s="153"/>
      <c r="CX444" s="153"/>
      <c r="CY444" s="153"/>
      <c r="CZ444" s="153"/>
      <c r="DA444" s="153"/>
      <c r="DB444" s="153"/>
      <c r="DC444" s="153"/>
      <c r="DD444" s="153"/>
      <c r="DE444" s="153"/>
      <c r="DF444" s="153"/>
      <c r="DG444" s="153"/>
      <c r="DH444" s="153"/>
      <c r="DI444" s="153"/>
      <c r="DJ444" s="153"/>
      <c r="DK444" s="153"/>
      <c r="DL444" s="153"/>
      <c r="DM444" s="153"/>
      <c r="DN444" s="153"/>
      <c r="DO444" s="153"/>
      <c r="DP444" s="153"/>
      <c r="DQ444" s="153"/>
      <c r="DR444" s="153"/>
      <c r="DS444" s="153"/>
      <c r="DT444" s="153"/>
      <c r="DU444" s="153"/>
      <c r="DV444" s="153"/>
      <c r="DW444" s="153"/>
      <c r="DX444" s="153"/>
      <c r="DY444" s="153"/>
      <c r="DZ444" s="153"/>
      <c r="EA444" s="153"/>
      <c r="EB444" s="153"/>
      <c r="EC444" s="153"/>
      <c r="ED444" s="153"/>
      <c r="EE444" s="153"/>
      <c r="EF444" s="153"/>
      <c r="EG444" s="153"/>
      <c r="EH444" s="153"/>
      <c r="EI444" s="153"/>
      <c r="EJ444" s="153"/>
      <c r="EK444" s="153"/>
      <c r="EL444" s="153"/>
      <c r="EM444" s="153"/>
      <c r="EN444" s="153"/>
      <c r="EO444" s="153"/>
      <c r="EP444" s="153"/>
      <c r="EQ444" s="153"/>
      <c r="ER444" s="153"/>
      <c r="ES444" s="153"/>
      <c r="ET444" s="153"/>
      <c r="EU444" s="153"/>
      <c r="EV444" s="153"/>
      <c r="EW444" s="153"/>
    </row>
    <row r="445" spans="1:153" s="152" customFormat="1" x14ac:dyDescent="0.2">
      <c r="A445" s="152" t="s">
        <v>4080</v>
      </c>
      <c r="B445" s="152" t="s">
        <v>1872</v>
      </c>
      <c r="C445" s="156" t="s">
        <v>1851</v>
      </c>
      <c r="D445" s="157">
        <v>44.53</v>
      </c>
      <c r="E445" s="157">
        <v>22.05</v>
      </c>
      <c r="F445" s="158">
        <f t="shared" si="25"/>
        <v>6800</v>
      </c>
      <c r="G445" s="159">
        <v>7400</v>
      </c>
      <c r="H445" s="159">
        <v>6200</v>
      </c>
      <c r="I445" s="471" t="s">
        <v>1200</v>
      </c>
      <c r="J445" s="497" t="s">
        <v>69</v>
      </c>
      <c r="K445" s="866" t="s">
        <v>4563</v>
      </c>
      <c r="L445" s="159" t="s">
        <v>2</v>
      </c>
      <c r="M445" s="156" t="s">
        <v>2259</v>
      </c>
      <c r="N445" s="139" t="s">
        <v>69</v>
      </c>
      <c r="O445" s="139" t="s">
        <v>69</v>
      </c>
      <c r="P445" s="139" t="s">
        <v>69</v>
      </c>
      <c r="Q445" s="139" t="s">
        <v>69</v>
      </c>
      <c r="R445" s="139" t="s">
        <v>4081</v>
      </c>
      <c r="S445" s="153"/>
      <c r="T445" s="153"/>
      <c r="U445" s="153"/>
      <c r="V445" s="153"/>
      <c r="W445" s="153"/>
      <c r="X445" s="153"/>
      <c r="Y445" s="153"/>
      <c r="Z445" s="153"/>
      <c r="AA445" s="153"/>
      <c r="AB445" s="153"/>
      <c r="AC445" s="153"/>
      <c r="AD445" s="153"/>
      <c r="AE445" s="153"/>
      <c r="AF445" s="153"/>
      <c r="AG445" s="153"/>
      <c r="AH445" s="153"/>
      <c r="AI445" s="153"/>
      <c r="AJ445" s="153"/>
      <c r="AK445" s="153"/>
      <c r="AL445" s="153"/>
      <c r="AM445" s="153"/>
      <c r="AN445" s="153"/>
      <c r="AO445" s="153"/>
      <c r="AP445" s="153"/>
      <c r="AQ445" s="153"/>
      <c r="AR445" s="153"/>
      <c r="AS445" s="153"/>
      <c r="AT445" s="153"/>
      <c r="AU445" s="153"/>
      <c r="AV445" s="153"/>
      <c r="AW445" s="153"/>
      <c r="AX445" s="153"/>
      <c r="AY445" s="153"/>
      <c r="AZ445" s="153"/>
      <c r="BA445" s="153"/>
      <c r="BB445" s="153"/>
      <c r="BC445" s="153"/>
      <c r="BD445" s="153"/>
      <c r="BE445" s="153"/>
      <c r="BF445" s="153"/>
      <c r="BG445" s="153"/>
      <c r="BH445" s="153"/>
      <c r="BI445" s="153"/>
      <c r="BJ445" s="153"/>
      <c r="BK445" s="153"/>
      <c r="BL445" s="153"/>
      <c r="BM445" s="153"/>
      <c r="BN445" s="153"/>
      <c r="BO445" s="153"/>
      <c r="BP445" s="153"/>
      <c r="BQ445" s="153"/>
      <c r="BR445" s="153"/>
      <c r="BS445" s="153"/>
      <c r="BT445" s="153"/>
      <c r="BU445" s="153"/>
      <c r="BV445" s="153"/>
      <c r="BW445" s="153"/>
      <c r="BX445" s="153"/>
      <c r="BY445" s="153"/>
      <c r="BZ445" s="153"/>
      <c r="CA445" s="153"/>
      <c r="CB445" s="153"/>
      <c r="CC445" s="153"/>
      <c r="CD445" s="153"/>
      <c r="CE445" s="153"/>
      <c r="CF445" s="153"/>
      <c r="CG445" s="153"/>
      <c r="CH445" s="153"/>
      <c r="CI445" s="153"/>
      <c r="CJ445" s="153"/>
      <c r="CK445" s="153"/>
      <c r="CL445" s="153"/>
      <c r="CM445" s="153"/>
      <c r="CN445" s="153"/>
      <c r="CO445" s="153"/>
      <c r="CP445" s="153"/>
      <c r="CQ445" s="153"/>
      <c r="CR445" s="153"/>
      <c r="CS445" s="153"/>
      <c r="CT445" s="153"/>
      <c r="CU445" s="153"/>
      <c r="CV445" s="153"/>
      <c r="CW445" s="153"/>
      <c r="CX445" s="153"/>
      <c r="CY445" s="153"/>
      <c r="CZ445" s="153"/>
      <c r="DA445" s="153"/>
      <c r="DB445" s="153"/>
      <c r="DC445" s="153"/>
      <c r="DD445" s="153"/>
      <c r="DE445" s="153"/>
      <c r="DF445" s="153"/>
      <c r="DG445" s="153"/>
      <c r="DH445" s="153"/>
      <c r="DI445" s="153"/>
      <c r="DJ445" s="153"/>
      <c r="DK445" s="153"/>
      <c r="DL445" s="153"/>
      <c r="DM445" s="153"/>
      <c r="DN445" s="153"/>
      <c r="DO445" s="153"/>
      <c r="DP445" s="153"/>
      <c r="DQ445" s="153"/>
      <c r="DR445" s="153"/>
      <c r="DS445" s="153"/>
      <c r="DT445" s="153"/>
      <c r="DU445" s="153"/>
      <c r="DV445" s="153"/>
      <c r="DW445" s="153"/>
      <c r="DX445" s="153"/>
      <c r="DY445" s="153"/>
      <c r="DZ445" s="153"/>
      <c r="EA445" s="153"/>
      <c r="EB445" s="153"/>
      <c r="EC445" s="153"/>
      <c r="ED445" s="153"/>
      <c r="EE445" s="153"/>
      <c r="EF445" s="153"/>
      <c r="EG445" s="153"/>
      <c r="EH445" s="153"/>
      <c r="EI445" s="153"/>
      <c r="EJ445" s="153"/>
      <c r="EK445" s="153"/>
      <c r="EL445" s="153"/>
      <c r="EM445" s="153"/>
      <c r="EN445" s="153"/>
      <c r="EO445" s="153"/>
      <c r="EP445" s="153"/>
      <c r="EQ445" s="153"/>
      <c r="ER445" s="153"/>
      <c r="ES445" s="153"/>
      <c r="ET445" s="153"/>
      <c r="EU445" s="153"/>
      <c r="EV445" s="153"/>
      <c r="EW445" s="153"/>
    </row>
    <row r="446" spans="1:153" s="152" customFormat="1" x14ac:dyDescent="0.2">
      <c r="A446" s="152" t="s">
        <v>4080</v>
      </c>
      <c r="B446" s="152" t="s">
        <v>1872</v>
      </c>
      <c r="C446" s="156" t="s">
        <v>1851</v>
      </c>
      <c r="D446" s="157">
        <v>44.53</v>
      </c>
      <c r="E446" s="157">
        <v>22.05</v>
      </c>
      <c r="F446" s="158">
        <f t="shared" si="25"/>
        <v>6800</v>
      </c>
      <c r="G446" s="159">
        <v>7400</v>
      </c>
      <c r="H446" s="159">
        <v>6200</v>
      </c>
      <c r="I446" s="471" t="s">
        <v>1200</v>
      </c>
      <c r="J446" s="497" t="s">
        <v>69</v>
      </c>
      <c r="K446" s="866" t="s">
        <v>4563</v>
      </c>
      <c r="L446" s="159" t="s">
        <v>14</v>
      </c>
      <c r="M446" s="156" t="s">
        <v>2260</v>
      </c>
      <c r="N446" s="139" t="s">
        <v>69</v>
      </c>
      <c r="O446" s="139" t="s">
        <v>69</v>
      </c>
      <c r="P446" s="139" t="s">
        <v>69</v>
      </c>
      <c r="Q446" s="139" t="s">
        <v>69</v>
      </c>
      <c r="R446" s="139" t="s">
        <v>4081</v>
      </c>
      <c r="S446" s="153"/>
      <c r="T446" s="153"/>
      <c r="U446" s="153"/>
      <c r="V446" s="153"/>
      <c r="W446" s="153"/>
      <c r="X446" s="153"/>
      <c r="Y446" s="153"/>
      <c r="Z446" s="153"/>
      <c r="AA446" s="153"/>
      <c r="AB446" s="153"/>
      <c r="AC446" s="153"/>
      <c r="AD446" s="153"/>
      <c r="AE446" s="153"/>
      <c r="AF446" s="153"/>
      <c r="AG446" s="153"/>
      <c r="AH446" s="153"/>
      <c r="AI446" s="153"/>
      <c r="AJ446" s="153"/>
      <c r="AK446" s="153"/>
      <c r="AL446" s="153"/>
      <c r="AM446" s="153"/>
      <c r="AN446" s="153"/>
      <c r="AO446" s="153"/>
      <c r="AP446" s="153"/>
      <c r="AQ446" s="153"/>
      <c r="AR446" s="153"/>
      <c r="AS446" s="153"/>
      <c r="AT446" s="153"/>
      <c r="AU446" s="153"/>
      <c r="AV446" s="153"/>
      <c r="AW446" s="153"/>
      <c r="AX446" s="153"/>
      <c r="AY446" s="153"/>
      <c r="AZ446" s="153"/>
      <c r="BA446" s="153"/>
      <c r="BB446" s="153"/>
      <c r="BC446" s="153"/>
      <c r="BD446" s="153"/>
      <c r="BE446" s="153"/>
      <c r="BF446" s="153"/>
      <c r="BG446" s="153"/>
      <c r="BH446" s="153"/>
      <c r="BI446" s="153"/>
      <c r="BJ446" s="153"/>
      <c r="BK446" s="153"/>
      <c r="BL446" s="153"/>
      <c r="BM446" s="153"/>
      <c r="BN446" s="153"/>
      <c r="BO446" s="153"/>
      <c r="BP446" s="153"/>
      <c r="BQ446" s="153"/>
      <c r="BR446" s="153"/>
      <c r="BS446" s="153"/>
      <c r="BT446" s="153"/>
      <c r="BU446" s="153"/>
      <c r="BV446" s="153"/>
      <c r="BW446" s="153"/>
      <c r="BX446" s="153"/>
      <c r="BY446" s="153"/>
      <c r="BZ446" s="153"/>
      <c r="CA446" s="153"/>
      <c r="CB446" s="153"/>
      <c r="CC446" s="153"/>
      <c r="CD446" s="153"/>
      <c r="CE446" s="153"/>
      <c r="CF446" s="153"/>
      <c r="CG446" s="153"/>
      <c r="CH446" s="153"/>
      <c r="CI446" s="153"/>
      <c r="CJ446" s="153"/>
      <c r="CK446" s="153"/>
      <c r="CL446" s="153"/>
      <c r="CM446" s="153"/>
      <c r="CN446" s="153"/>
      <c r="CO446" s="153"/>
      <c r="CP446" s="153"/>
      <c r="CQ446" s="153"/>
      <c r="CR446" s="153"/>
      <c r="CS446" s="153"/>
      <c r="CT446" s="153"/>
      <c r="CU446" s="153"/>
      <c r="CV446" s="153"/>
      <c r="CW446" s="153"/>
      <c r="CX446" s="153"/>
      <c r="CY446" s="153"/>
      <c r="CZ446" s="153"/>
      <c r="DA446" s="153"/>
      <c r="DB446" s="153"/>
      <c r="DC446" s="153"/>
      <c r="DD446" s="153"/>
      <c r="DE446" s="153"/>
      <c r="DF446" s="153"/>
      <c r="DG446" s="153"/>
      <c r="DH446" s="153"/>
      <c r="DI446" s="153"/>
      <c r="DJ446" s="153"/>
      <c r="DK446" s="153"/>
      <c r="DL446" s="153"/>
      <c r="DM446" s="153"/>
      <c r="DN446" s="153"/>
      <c r="DO446" s="153"/>
      <c r="DP446" s="153"/>
      <c r="DQ446" s="153"/>
      <c r="DR446" s="153"/>
      <c r="DS446" s="153"/>
      <c r="DT446" s="153"/>
      <c r="DU446" s="153"/>
      <c r="DV446" s="153"/>
      <c r="DW446" s="153"/>
      <c r="DX446" s="153"/>
      <c r="DY446" s="153"/>
      <c r="DZ446" s="153"/>
      <c r="EA446" s="153"/>
      <c r="EB446" s="153"/>
      <c r="EC446" s="153"/>
      <c r="ED446" s="153"/>
      <c r="EE446" s="153"/>
      <c r="EF446" s="153"/>
      <c r="EG446" s="153"/>
      <c r="EH446" s="153"/>
      <c r="EI446" s="153"/>
      <c r="EJ446" s="153"/>
      <c r="EK446" s="153"/>
      <c r="EL446" s="153"/>
      <c r="EM446" s="153"/>
      <c r="EN446" s="153"/>
      <c r="EO446" s="153"/>
      <c r="EP446" s="153"/>
      <c r="EQ446" s="153"/>
      <c r="ER446" s="153"/>
      <c r="ES446" s="153"/>
      <c r="ET446" s="153"/>
      <c r="EU446" s="153"/>
      <c r="EV446" s="153"/>
      <c r="EW446" s="153"/>
    </row>
    <row r="447" spans="1:153" s="152" customFormat="1" x14ac:dyDescent="0.2">
      <c r="A447" s="152" t="s">
        <v>2504</v>
      </c>
      <c r="B447" s="165" t="s">
        <v>1872</v>
      </c>
      <c r="C447" s="156" t="s">
        <v>1851</v>
      </c>
      <c r="D447" s="157">
        <v>44.53</v>
      </c>
      <c r="E447" s="157">
        <v>22.05</v>
      </c>
      <c r="F447" s="168">
        <v>6726</v>
      </c>
      <c r="G447" s="167">
        <v>7024</v>
      </c>
      <c r="H447" s="167">
        <v>6428</v>
      </c>
      <c r="I447" s="467" t="s">
        <v>2356</v>
      </c>
      <c r="J447" s="497" t="s">
        <v>69</v>
      </c>
      <c r="K447" s="866" t="s">
        <v>4563</v>
      </c>
      <c r="L447" s="167" t="s">
        <v>2</v>
      </c>
      <c r="M447" s="165" t="s">
        <v>2718</v>
      </c>
      <c r="N447" s="170" t="s">
        <v>2719</v>
      </c>
      <c r="O447" s="139" t="s">
        <v>69</v>
      </c>
      <c r="P447" s="139" t="s">
        <v>69</v>
      </c>
      <c r="Q447" s="139" t="s">
        <v>69</v>
      </c>
      <c r="R447" s="166" t="s">
        <v>4329</v>
      </c>
      <c r="S447" s="153"/>
      <c r="T447" s="153"/>
      <c r="U447" s="153"/>
      <c r="V447" s="153"/>
      <c r="W447" s="153"/>
      <c r="X447" s="153"/>
      <c r="Y447" s="153"/>
      <c r="Z447" s="153"/>
      <c r="AA447" s="153"/>
      <c r="AB447" s="153"/>
      <c r="AC447" s="153"/>
      <c r="AD447" s="153"/>
      <c r="AE447" s="153"/>
      <c r="AF447" s="153"/>
      <c r="AG447" s="153"/>
      <c r="AH447" s="153"/>
      <c r="AI447" s="153"/>
      <c r="AJ447" s="153"/>
      <c r="AK447" s="153"/>
      <c r="AL447" s="153"/>
      <c r="AM447" s="153"/>
      <c r="AN447" s="153"/>
      <c r="AO447" s="153"/>
      <c r="AP447" s="153"/>
      <c r="AQ447" s="153"/>
      <c r="AR447" s="153"/>
      <c r="AS447" s="153"/>
      <c r="AT447" s="153"/>
      <c r="AU447" s="153"/>
      <c r="AV447" s="153"/>
      <c r="AW447" s="153"/>
      <c r="AX447" s="153"/>
      <c r="AY447" s="153"/>
      <c r="AZ447" s="153"/>
      <c r="BA447" s="153"/>
      <c r="BB447" s="153"/>
      <c r="BC447" s="153"/>
      <c r="BD447" s="153"/>
      <c r="BE447" s="153"/>
      <c r="BF447" s="153"/>
      <c r="BG447" s="153"/>
      <c r="BH447" s="153"/>
      <c r="BI447" s="153"/>
      <c r="BJ447" s="153"/>
      <c r="BK447" s="153"/>
      <c r="BL447" s="153"/>
      <c r="BM447" s="153"/>
      <c r="BN447" s="153"/>
      <c r="BO447" s="153"/>
      <c r="BP447" s="153"/>
      <c r="BQ447" s="153"/>
      <c r="BR447" s="153"/>
      <c r="BS447" s="153"/>
      <c r="BT447" s="153"/>
      <c r="BU447" s="153"/>
      <c r="BV447" s="153"/>
      <c r="BW447" s="153"/>
      <c r="BX447" s="153"/>
      <c r="BY447" s="153"/>
      <c r="BZ447" s="153"/>
      <c r="CA447" s="153"/>
      <c r="CB447" s="153"/>
      <c r="CC447" s="153"/>
      <c r="CD447" s="153"/>
      <c r="CE447" s="153"/>
      <c r="CF447" s="153"/>
      <c r="CG447" s="153"/>
      <c r="CH447" s="153"/>
      <c r="CI447" s="153"/>
      <c r="CJ447" s="153"/>
      <c r="CK447" s="153"/>
      <c r="CL447" s="153"/>
      <c r="CM447" s="153"/>
      <c r="CN447" s="153"/>
      <c r="CO447" s="153"/>
      <c r="CP447" s="153"/>
      <c r="CQ447" s="153"/>
      <c r="CR447" s="153"/>
      <c r="CS447" s="153"/>
      <c r="CT447" s="153"/>
      <c r="CU447" s="153"/>
      <c r="CV447" s="153"/>
      <c r="CW447" s="153"/>
      <c r="CX447" s="153"/>
      <c r="CY447" s="153"/>
      <c r="CZ447" s="153"/>
      <c r="DA447" s="153"/>
      <c r="DB447" s="153"/>
      <c r="DC447" s="153"/>
      <c r="DD447" s="153"/>
      <c r="DE447" s="153"/>
      <c r="DF447" s="153"/>
      <c r="DG447" s="153"/>
      <c r="DH447" s="153"/>
      <c r="DI447" s="153"/>
      <c r="DJ447" s="153"/>
      <c r="DK447" s="153"/>
      <c r="DL447" s="153"/>
      <c r="DM447" s="153"/>
      <c r="DN447" s="153"/>
      <c r="DO447" s="153"/>
      <c r="DP447" s="153"/>
      <c r="DQ447" s="153"/>
      <c r="DR447" s="153"/>
      <c r="DS447" s="153"/>
      <c r="DT447" s="153"/>
      <c r="DU447" s="153"/>
      <c r="DV447" s="153"/>
      <c r="DW447" s="153"/>
      <c r="DX447" s="153"/>
      <c r="DY447" s="153"/>
      <c r="DZ447" s="153"/>
      <c r="EA447" s="153"/>
      <c r="EB447" s="153"/>
      <c r="EC447" s="153"/>
      <c r="ED447" s="153"/>
      <c r="EE447" s="153"/>
      <c r="EF447" s="153"/>
      <c r="EG447" s="153"/>
      <c r="EH447" s="153"/>
      <c r="EI447" s="153"/>
      <c r="EJ447" s="153"/>
      <c r="EK447" s="153"/>
      <c r="EL447" s="153"/>
      <c r="EM447" s="153"/>
      <c r="EN447" s="153"/>
      <c r="EO447" s="153"/>
      <c r="EP447" s="153"/>
      <c r="EQ447" s="153"/>
      <c r="ER447" s="153"/>
      <c r="ES447" s="153"/>
      <c r="ET447" s="153"/>
      <c r="EU447" s="153"/>
      <c r="EV447" s="153"/>
      <c r="EW447" s="153"/>
    </row>
    <row r="448" spans="1:153" s="152" customFormat="1" x14ac:dyDescent="0.2">
      <c r="A448" s="152" t="s">
        <v>2504</v>
      </c>
      <c r="B448" s="165" t="s">
        <v>1872</v>
      </c>
      <c r="C448" s="156" t="s">
        <v>1851</v>
      </c>
      <c r="D448" s="157">
        <v>44.53</v>
      </c>
      <c r="E448" s="157">
        <v>22.05</v>
      </c>
      <c r="F448" s="168">
        <v>6726</v>
      </c>
      <c r="G448" s="167">
        <v>7024</v>
      </c>
      <c r="H448" s="167">
        <v>6428</v>
      </c>
      <c r="I448" s="468" t="s">
        <v>4346</v>
      </c>
      <c r="J448" s="497" t="s">
        <v>69</v>
      </c>
      <c r="K448" s="866" t="s">
        <v>4563</v>
      </c>
      <c r="L448" s="167" t="s">
        <v>14</v>
      </c>
      <c r="M448" s="165" t="s">
        <v>2720</v>
      </c>
      <c r="N448" s="170" t="s">
        <v>2721</v>
      </c>
      <c r="O448" s="139" t="s">
        <v>69</v>
      </c>
      <c r="P448" s="139" t="s">
        <v>69</v>
      </c>
      <c r="Q448" s="139" t="s">
        <v>69</v>
      </c>
      <c r="R448" s="478" t="s">
        <v>4347</v>
      </c>
      <c r="S448" s="166" t="s">
        <v>4329</v>
      </c>
      <c r="T448" s="153"/>
      <c r="U448" s="153"/>
      <c r="V448" s="153"/>
      <c r="W448" s="153"/>
      <c r="X448" s="153"/>
      <c r="Y448" s="153"/>
      <c r="Z448" s="153"/>
      <c r="AA448" s="153"/>
      <c r="AB448" s="153"/>
      <c r="AC448" s="153"/>
      <c r="AD448" s="153"/>
      <c r="AE448" s="153"/>
      <c r="AF448" s="153"/>
      <c r="AG448" s="153"/>
      <c r="AH448" s="153"/>
      <c r="AI448" s="153"/>
      <c r="AJ448" s="153"/>
      <c r="AK448" s="153"/>
      <c r="AL448" s="153"/>
      <c r="AM448" s="153"/>
      <c r="AN448" s="153"/>
      <c r="AO448" s="153"/>
      <c r="AP448" s="153"/>
      <c r="AQ448" s="153"/>
      <c r="AR448" s="153"/>
      <c r="AS448" s="153"/>
      <c r="AT448" s="153"/>
      <c r="AU448" s="153"/>
      <c r="AV448" s="153"/>
      <c r="AW448" s="153"/>
      <c r="AX448" s="153"/>
      <c r="AY448" s="153"/>
      <c r="AZ448" s="153"/>
      <c r="BA448" s="153"/>
      <c r="BB448" s="153"/>
      <c r="BC448" s="153"/>
      <c r="BD448" s="153"/>
      <c r="BE448" s="153"/>
      <c r="BF448" s="153"/>
      <c r="BG448" s="153"/>
      <c r="BH448" s="153"/>
      <c r="BI448" s="153"/>
      <c r="BJ448" s="153"/>
      <c r="BK448" s="153"/>
      <c r="BL448" s="153"/>
      <c r="BM448" s="153"/>
      <c r="BN448" s="153"/>
      <c r="BO448" s="153"/>
      <c r="BP448" s="153"/>
      <c r="BQ448" s="153"/>
      <c r="BR448" s="153"/>
      <c r="BS448" s="153"/>
      <c r="BT448" s="153"/>
      <c r="BU448" s="153"/>
      <c r="BV448" s="153"/>
      <c r="BW448" s="153"/>
      <c r="BX448" s="153"/>
      <c r="BY448" s="153"/>
      <c r="BZ448" s="153"/>
      <c r="CA448" s="153"/>
      <c r="CB448" s="153"/>
      <c r="CC448" s="153"/>
      <c r="CD448" s="153"/>
      <c r="CE448" s="153"/>
      <c r="CF448" s="153"/>
      <c r="CG448" s="153"/>
      <c r="CH448" s="153"/>
      <c r="CI448" s="153"/>
      <c r="CJ448" s="153"/>
      <c r="CK448" s="153"/>
      <c r="CL448" s="153"/>
      <c r="CM448" s="153"/>
      <c r="CN448" s="153"/>
      <c r="CO448" s="153"/>
      <c r="CP448" s="153"/>
      <c r="CQ448" s="153"/>
      <c r="CR448" s="153"/>
      <c r="CS448" s="153"/>
      <c r="CT448" s="153"/>
      <c r="CU448" s="153"/>
      <c r="CV448" s="153"/>
      <c r="CW448" s="153"/>
      <c r="CX448" s="153"/>
      <c r="CY448" s="153"/>
      <c r="CZ448" s="153"/>
      <c r="DA448" s="153"/>
      <c r="DB448" s="153"/>
      <c r="DC448" s="153"/>
      <c r="DD448" s="153"/>
      <c r="DE448" s="153"/>
      <c r="DF448" s="153"/>
      <c r="DG448" s="153"/>
      <c r="DH448" s="153"/>
      <c r="DI448" s="153"/>
      <c r="DJ448" s="153"/>
      <c r="DK448" s="153"/>
      <c r="DL448" s="153"/>
      <c r="DM448" s="153"/>
      <c r="DN448" s="153"/>
      <c r="DO448" s="153"/>
      <c r="DP448" s="153"/>
      <c r="DQ448" s="153"/>
      <c r="DR448" s="153"/>
      <c r="DS448" s="153"/>
      <c r="DT448" s="153"/>
      <c r="DU448" s="153"/>
      <c r="DV448" s="153"/>
      <c r="DW448" s="153"/>
      <c r="DX448" s="153"/>
      <c r="DY448" s="153"/>
      <c r="DZ448" s="153"/>
      <c r="EA448" s="153"/>
      <c r="EB448" s="153"/>
      <c r="EC448" s="153"/>
      <c r="ED448" s="153"/>
      <c r="EE448" s="153"/>
      <c r="EF448" s="153"/>
      <c r="EG448" s="153"/>
      <c r="EH448" s="153"/>
      <c r="EI448" s="153"/>
      <c r="EJ448" s="153"/>
      <c r="EK448" s="153"/>
      <c r="EL448" s="153"/>
      <c r="EM448" s="153"/>
      <c r="EN448" s="153"/>
      <c r="EO448" s="153"/>
      <c r="EP448" s="153"/>
      <c r="EQ448" s="153"/>
      <c r="ER448" s="153"/>
      <c r="ES448" s="153"/>
      <c r="ET448" s="153"/>
      <c r="EU448" s="153"/>
      <c r="EV448" s="153"/>
      <c r="EW448" s="153"/>
    </row>
    <row r="449" spans="1:153" s="152" customFormat="1" x14ac:dyDescent="0.2">
      <c r="A449" s="152" t="s">
        <v>2504</v>
      </c>
      <c r="B449" s="165" t="s">
        <v>1872</v>
      </c>
      <c r="C449" s="156" t="s">
        <v>1851</v>
      </c>
      <c r="D449" s="157">
        <v>44.53</v>
      </c>
      <c r="E449" s="157">
        <v>22.05</v>
      </c>
      <c r="F449" s="168">
        <v>6726</v>
      </c>
      <c r="G449" s="167">
        <v>7024</v>
      </c>
      <c r="H449" s="167">
        <v>6428</v>
      </c>
      <c r="I449" s="469" t="s">
        <v>4348</v>
      </c>
      <c r="J449" s="467" t="s">
        <v>705</v>
      </c>
      <c r="K449" s="866" t="s">
        <v>4563</v>
      </c>
      <c r="L449" s="167" t="s">
        <v>14</v>
      </c>
      <c r="M449" s="165" t="s">
        <v>2727</v>
      </c>
      <c r="N449" s="170" t="s">
        <v>2728</v>
      </c>
      <c r="O449" s="139" t="s">
        <v>69</v>
      </c>
      <c r="P449" s="139" t="s">
        <v>69</v>
      </c>
      <c r="Q449" s="139" t="s">
        <v>69</v>
      </c>
      <c r="R449" s="478" t="s">
        <v>4349</v>
      </c>
      <c r="S449" s="166" t="s">
        <v>4329</v>
      </c>
      <c r="T449" s="153"/>
      <c r="U449" s="153"/>
      <c r="V449" s="153"/>
      <c r="W449" s="153"/>
      <c r="X449" s="153"/>
      <c r="Y449" s="153"/>
      <c r="Z449" s="153"/>
      <c r="AA449" s="153"/>
      <c r="AB449" s="153"/>
      <c r="AC449" s="153"/>
      <c r="AD449" s="153"/>
      <c r="AE449" s="153"/>
      <c r="AF449" s="153"/>
      <c r="AG449" s="153"/>
      <c r="AH449" s="153"/>
      <c r="AI449" s="153"/>
      <c r="AJ449" s="153"/>
      <c r="AK449" s="153"/>
      <c r="AL449" s="153"/>
      <c r="AM449" s="153"/>
      <c r="AN449" s="153"/>
      <c r="AO449" s="153"/>
      <c r="AP449" s="153"/>
      <c r="AQ449" s="153"/>
      <c r="AR449" s="153"/>
      <c r="AS449" s="153"/>
      <c r="AT449" s="153"/>
      <c r="AU449" s="153"/>
      <c r="AV449" s="153"/>
      <c r="AW449" s="153"/>
      <c r="AX449" s="153"/>
      <c r="AY449" s="153"/>
      <c r="AZ449" s="153"/>
      <c r="BA449" s="153"/>
      <c r="BB449" s="153"/>
      <c r="BC449" s="153"/>
      <c r="BD449" s="153"/>
      <c r="BE449" s="153"/>
      <c r="BF449" s="153"/>
      <c r="BG449" s="153"/>
      <c r="BH449" s="153"/>
      <c r="BI449" s="153"/>
      <c r="BJ449" s="153"/>
      <c r="BK449" s="153"/>
      <c r="BL449" s="153"/>
      <c r="BM449" s="153"/>
      <c r="BN449" s="153"/>
      <c r="BO449" s="153"/>
      <c r="BP449" s="153"/>
      <c r="BQ449" s="153"/>
      <c r="BR449" s="153"/>
      <c r="BS449" s="153"/>
      <c r="BT449" s="153"/>
      <c r="BU449" s="153"/>
      <c r="BV449" s="153"/>
      <c r="BW449" s="153"/>
      <c r="BX449" s="153"/>
      <c r="BY449" s="153"/>
      <c r="BZ449" s="153"/>
      <c r="CA449" s="153"/>
      <c r="CB449" s="153"/>
      <c r="CC449" s="153"/>
      <c r="CD449" s="153"/>
      <c r="CE449" s="153"/>
      <c r="CF449" s="153"/>
      <c r="CG449" s="153"/>
      <c r="CH449" s="153"/>
      <c r="CI449" s="153"/>
      <c r="CJ449" s="153"/>
      <c r="CK449" s="153"/>
      <c r="CL449" s="153"/>
      <c r="CM449" s="153"/>
      <c r="CN449" s="153"/>
      <c r="CO449" s="153"/>
      <c r="CP449" s="153"/>
      <c r="CQ449" s="153"/>
      <c r="CR449" s="153"/>
      <c r="CS449" s="153"/>
      <c r="CT449" s="153"/>
      <c r="CU449" s="153"/>
      <c r="CV449" s="153"/>
      <c r="CW449" s="153"/>
      <c r="CX449" s="153"/>
      <c r="CY449" s="153"/>
      <c r="CZ449" s="153"/>
      <c r="DA449" s="153"/>
      <c r="DB449" s="153"/>
      <c r="DC449" s="153"/>
      <c r="DD449" s="153"/>
      <c r="DE449" s="153"/>
      <c r="DF449" s="153"/>
      <c r="DG449" s="153"/>
      <c r="DH449" s="153"/>
      <c r="DI449" s="153"/>
      <c r="DJ449" s="153"/>
      <c r="DK449" s="153"/>
      <c r="DL449" s="153"/>
      <c r="DM449" s="153"/>
      <c r="DN449" s="153"/>
      <c r="DO449" s="153"/>
      <c r="DP449" s="153"/>
      <c r="DQ449" s="153"/>
      <c r="DR449" s="153"/>
      <c r="DS449" s="153"/>
      <c r="DT449" s="153"/>
      <c r="DU449" s="153"/>
      <c r="DV449" s="153"/>
      <c r="DW449" s="153"/>
      <c r="DX449" s="153"/>
      <c r="DY449" s="153"/>
      <c r="DZ449" s="153"/>
      <c r="EA449" s="153"/>
      <c r="EB449" s="153"/>
      <c r="EC449" s="153"/>
      <c r="ED449" s="153"/>
      <c r="EE449" s="153"/>
      <c r="EF449" s="153"/>
      <c r="EG449" s="153"/>
      <c r="EH449" s="153"/>
      <c r="EI449" s="153"/>
      <c r="EJ449" s="153"/>
      <c r="EK449" s="153"/>
      <c r="EL449" s="153"/>
      <c r="EM449" s="153"/>
      <c r="EN449" s="153"/>
      <c r="EO449" s="153"/>
      <c r="EP449" s="153"/>
      <c r="EQ449" s="153"/>
      <c r="ER449" s="153"/>
      <c r="ES449" s="153"/>
      <c r="ET449" s="153"/>
      <c r="EU449" s="153"/>
      <c r="EV449" s="153"/>
      <c r="EW449" s="153"/>
    </row>
    <row r="450" spans="1:153" s="152" customFormat="1" x14ac:dyDescent="0.2">
      <c r="A450" s="152" t="s">
        <v>2504</v>
      </c>
      <c r="B450" s="165" t="s">
        <v>2717</v>
      </c>
      <c r="C450" s="156" t="s">
        <v>1851</v>
      </c>
      <c r="D450" s="171">
        <v>44.5555278</v>
      </c>
      <c r="E450" s="171">
        <v>22.027419999999999</v>
      </c>
      <c r="F450" s="167">
        <f>AVERAGE(G450:H450)</f>
        <v>6064.5</v>
      </c>
      <c r="G450" s="167">
        <v>6222</v>
      </c>
      <c r="H450" s="167">
        <v>5907</v>
      </c>
      <c r="I450" s="467" t="s">
        <v>132</v>
      </c>
      <c r="J450" s="497" t="s">
        <v>69</v>
      </c>
      <c r="K450" s="866" t="s">
        <v>4563</v>
      </c>
      <c r="L450" s="167" t="s">
        <v>2</v>
      </c>
      <c r="M450" s="165" t="s">
        <v>2722</v>
      </c>
      <c r="N450" s="170" t="s">
        <v>2723</v>
      </c>
      <c r="O450" s="139" t="s">
        <v>69</v>
      </c>
      <c r="P450" s="139" t="s">
        <v>69</v>
      </c>
      <c r="Q450" s="139" t="s">
        <v>69</v>
      </c>
      <c r="R450" s="166" t="s">
        <v>4330</v>
      </c>
      <c r="S450" s="153"/>
      <c r="T450" s="153"/>
      <c r="U450" s="153"/>
      <c r="V450" s="153"/>
      <c r="W450" s="153"/>
      <c r="X450" s="153"/>
      <c r="Y450" s="153"/>
      <c r="Z450" s="153"/>
      <c r="AA450" s="153"/>
      <c r="AB450" s="153"/>
      <c r="AC450" s="153"/>
      <c r="AD450" s="153"/>
      <c r="AE450" s="153"/>
      <c r="AF450" s="153"/>
      <c r="AG450" s="153"/>
      <c r="AH450" s="153"/>
      <c r="AI450" s="153"/>
      <c r="AJ450" s="153"/>
      <c r="AK450" s="153"/>
      <c r="AL450" s="153"/>
      <c r="AM450" s="153"/>
      <c r="AN450" s="153"/>
      <c r="AO450" s="153"/>
      <c r="AP450" s="153"/>
      <c r="AQ450" s="153"/>
      <c r="AR450" s="153"/>
      <c r="AS450" s="153"/>
      <c r="AT450" s="153"/>
      <c r="AU450" s="153"/>
      <c r="AV450" s="153"/>
      <c r="AW450" s="153"/>
      <c r="AX450" s="153"/>
      <c r="AY450" s="153"/>
      <c r="AZ450" s="153"/>
      <c r="BA450" s="153"/>
      <c r="BB450" s="153"/>
      <c r="BC450" s="153"/>
      <c r="BD450" s="153"/>
      <c r="BE450" s="153"/>
      <c r="BF450" s="153"/>
      <c r="BG450" s="153"/>
      <c r="BH450" s="153"/>
      <c r="BI450" s="153"/>
      <c r="BJ450" s="153"/>
      <c r="BK450" s="153"/>
      <c r="BL450" s="153"/>
      <c r="BM450" s="153"/>
      <c r="BN450" s="153"/>
      <c r="BO450" s="153"/>
      <c r="BP450" s="153"/>
      <c r="BQ450" s="153"/>
      <c r="BR450" s="153"/>
      <c r="BS450" s="153"/>
      <c r="BT450" s="153"/>
      <c r="BU450" s="153"/>
      <c r="BV450" s="153"/>
      <c r="BW450" s="153"/>
      <c r="BX450" s="153"/>
      <c r="BY450" s="153"/>
      <c r="BZ450" s="153"/>
      <c r="CA450" s="153"/>
      <c r="CB450" s="153"/>
      <c r="CC450" s="153"/>
      <c r="CD450" s="153"/>
      <c r="CE450" s="153"/>
      <c r="CF450" s="153"/>
      <c r="CG450" s="153"/>
      <c r="CH450" s="153"/>
      <c r="CI450" s="153"/>
      <c r="CJ450" s="153"/>
      <c r="CK450" s="153"/>
      <c r="CL450" s="153"/>
      <c r="CM450" s="153"/>
      <c r="CN450" s="153"/>
      <c r="CO450" s="153"/>
      <c r="CP450" s="153"/>
      <c r="CQ450" s="153"/>
      <c r="CR450" s="153"/>
      <c r="CS450" s="153"/>
      <c r="CT450" s="153"/>
      <c r="CU450" s="153"/>
      <c r="CV450" s="153"/>
      <c r="CW450" s="153"/>
      <c r="CX450" s="153"/>
      <c r="CY450" s="153"/>
      <c r="CZ450" s="153"/>
      <c r="DA450" s="153"/>
      <c r="DB450" s="153"/>
      <c r="DC450" s="153"/>
      <c r="DD450" s="153"/>
      <c r="DE450" s="153"/>
      <c r="DF450" s="153"/>
      <c r="DG450" s="153"/>
      <c r="DH450" s="153"/>
      <c r="DI450" s="153"/>
      <c r="DJ450" s="153"/>
      <c r="DK450" s="153"/>
      <c r="DL450" s="153"/>
      <c r="DM450" s="153"/>
      <c r="DN450" s="153"/>
      <c r="DO450" s="153"/>
      <c r="DP450" s="153"/>
      <c r="DQ450" s="153"/>
      <c r="DR450" s="153"/>
      <c r="DS450" s="153"/>
      <c r="DT450" s="153"/>
      <c r="DU450" s="153"/>
      <c r="DV450" s="153"/>
      <c r="DW450" s="153"/>
      <c r="DX450" s="153"/>
      <c r="DY450" s="153"/>
      <c r="DZ450" s="153"/>
      <c r="EA450" s="153"/>
      <c r="EB450" s="153"/>
      <c r="EC450" s="153"/>
      <c r="ED450" s="153"/>
      <c r="EE450" s="153"/>
      <c r="EF450" s="153"/>
      <c r="EG450" s="153"/>
      <c r="EH450" s="153"/>
      <c r="EI450" s="153"/>
      <c r="EJ450" s="153"/>
      <c r="EK450" s="153"/>
      <c r="EL450" s="153"/>
      <c r="EM450" s="153"/>
      <c r="EN450" s="153"/>
      <c r="EO450" s="153"/>
      <c r="EP450" s="153"/>
      <c r="EQ450" s="153"/>
      <c r="ER450" s="153"/>
      <c r="ES450" s="153"/>
      <c r="ET450" s="153"/>
      <c r="EU450" s="153"/>
      <c r="EV450" s="153"/>
      <c r="EW450" s="153"/>
    </row>
    <row r="451" spans="1:153" s="152" customFormat="1" x14ac:dyDescent="0.2">
      <c r="A451" s="152" t="s">
        <v>2504</v>
      </c>
      <c r="B451" s="165" t="s">
        <v>1850</v>
      </c>
      <c r="C451" s="156" t="s">
        <v>1851</v>
      </c>
      <c r="D451" s="171">
        <v>44.5555278</v>
      </c>
      <c r="E451" s="171">
        <v>22.027419999999999</v>
      </c>
      <c r="F451" s="168">
        <v>7850</v>
      </c>
      <c r="G451" s="172">
        <v>8300</v>
      </c>
      <c r="H451" s="172">
        <v>7400</v>
      </c>
      <c r="I451" s="467" t="s">
        <v>1686</v>
      </c>
      <c r="J451" s="497" t="s">
        <v>69</v>
      </c>
      <c r="K451" s="866" t="s">
        <v>4563</v>
      </c>
      <c r="L451" s="167" t="s">
        <v>2</v>
      </c>
      <c r="M451" s="165" t="s">
        <v>2724</v>
      </c>
      <c r="N451" s="170" t="s">
        <v>2725</v>
      </c>
      <c r="O451" s="139" t="s">
        <v>69</v>
      </c>
      <c r="P451" s="139" t="s">
        <v>69</v>
      </c>
      <c r="Q451" s="139" t="s">
        <v>69</v>
      </c>
      <c r="R451" s="166" t="s">
        <v>4329</v>
      </c>
      <c r="S451" s="153"/>
      <c r="T451" s="153"/>
      <c r="U451" s="153"/>
      <c r="V451" s="153"/>
      <c r="W451" s="153"/>
      <c r="X451" s="153"/>
      <c r="Y451" s="153"/>
      <c r="Z451" s="153"/>
      <c r="AA451" s="153"/>
      <c r="AB451" s="153"/>
      <c r="AC451" s="153"/>
      <c r="AD451" s="153"/>
      <c r="AE451" s="153"/>
      <c r="AF451" s="153"/>
      <c r="AG451" s="153"/>
      <c r="AH451" s="153"/>
      <c r="AI451" s="153"/>
      <c r="AJ451" s="153"/>
      <c r="AK451" s="153"/>
      <c r="AL451" s="153"/>
      <c r="AM451" s="153"/>
      <c r="AN451" s="153"/>
      <c r="AO451" s="153"/>
      <c r="AP451" s="153"/>
      <c r="AQ451" s="153"/>
      <c r="AR451" s="153"/>
      <c r="AS451" s="153"/>
      <c r="AT451" s="153"/>
      <c r="AU451" s="153"/>
      <c r="AV451" s="153"/>
      <c r="AW451" s="153"/>
      <c r="AX451" s="153"/>
      <c r="AY451" s="153"/>
      <c r="AZ451" s="153"/>
      <c r="BA451" s="153"/>
      <c r="BB451" s="153"/>
      <c r="BC451" s="153"/>
      <c r="BD451" s="153"/>
      <c r="BE451" s="153"/>
      <c r="BF451" s="153"/>
      <c r="BG451" s="153"/>
      <c r="BH451" s="153"/>
      <c r="BI451" s="153"/>
      <c r="BJ451" s="153"/>
      <c r="BK451" s="153"/>
      <c r="BL451" s="153"/>
      <c r="BM451" s="153"/>
      <c r="BN451" s="153"/>
      <c r="BO451" s="153"/>
      <c r="BP451" s="153"/>
      <c r="BQ451" s="153"/>
      <c r="BR451" s="153"/>
      <c r="BS451" s="153"/>
      <c r="BT451" s="153"/>
      <c r="BU451" s="153"/>
      <c r="BV451" s="153"/>
      <c r="BW451" s="153"/>
      <c r="BX451" s="153"/>
      <c r="BY451" s="153"/>
      <c r="BZ451" s="153"/>
      <c r="CA451" s="153"/>
      <c r="CB451" s="153"/>
      <c r="CC451" s="153"/>
      <c r="CD451" s="153"/>
      <c r="CE451" s="153"/>
      <c r="CF451" s="153"/>
      <c r="CG451" s="153"/>
      <c r="CH451" s="153"/>
      <c r="CI451" s="153"/>
      <c r="CJ451" s="153"/>
      <c r="CK451" s="153"/>
      <c r="CL451" s="153"/>
      <c r="CM451" s="153"/>
      <c r="CN451" s="153"/>
      <c r="CO451" s="153"/>
      <c r="CP451" s="153"/>
      <c r="CQ451" s="153"/>
      <c r="CR451" s="153"/>
      <c r="CS451" s="153"/>
      <c r="CT451" s="153"/>
      <c r="CU451" s="153"/>
      <c r="CV451" s="153"/>
      <c r="CW451" s="153"/>
      <c r="CX451" s="153"/>
      <c r="CY451" s="153"/>
      <c r="CZ451" s="153"/>
      <c r="DA451" s="153"/>
      <c r="DB451" s="153"/>
      <c r="DC451" s="153"/>
      <c r="DD451" s="153"/>
      <c r="DE451" s="153"/>
      <c r="DF451" s="153"/>
      <c r="DG451" s="153"/>
      <c r="DH451" s="153"/>
      <c r="DI451" s="153"/>
      <c r="DJ451" s="153"/>
      <c r="DK451" s="153"/>
      <c r="DL451" s="153"/>
      <c r="DM451" s="153"/>
      <c r="DN451" s="153"/>
      <c r="DO451" s="153"/>
      <c r="DP451" s="153"/>
      <c r="DQ451" s="153"/>
      <c r="DR451" s="153"/>
      <c r="DS451" s="153"/>
      <c r="DT451" s="153"/>
      <c r="DU451" s="153"/>
      <c r="DV451" s="153"/>
      <c r="DW451" s="153"/>
      <c r="DX451" s="153"/>
      <c r="DY451" s="153"/>
      <c r="DZ451" s="153"/>
      <c r="EA451" s="153"/>
      <c r="EB451" s="153"/>
      <c r="EC451" s="153"/>
      <c r="ED451" s="153"/>
      <c r="EE451" s="153"/>
      <c r="EF451" s="153"/>
      <c r="EG451" s="153"/>
      <c r="EH451" s="153"/>
      <c r="EI451" s="153"/>
      <c r="EJ451" s="153"/>
      <c r="EK451" s="153"/>
      <c r="EL451" s="153"/>
      <c r="EM451" s="153"/>
      <c r="EN451" s="153"/>
      <c r="EO451" s="153"/>
      <c r="EP451" s="153"/>
      <c r="EQ451" s="153"/>
      <c r="ER451" s="153"/>
      <c r="ES451" s="153"/>
      <c r="ET451" s="153"/>
      <c r="EU451" s="153"/>
      <c r="EV451" s="153"/>
      <c r="EW451" s="153"/>
    </row>
    <row r="452" spans="1:153" s="284" customFormat="1" ht="15" customHeight="1" x14ac:dyDescent="0.2">
      <c r="A452" s="285" t="s">
        <v>3996</v>
      </c>
      <c r="B452" s="286" t="s">
        <v>1872</v>
      </c>
      <c r="C452" s="287" t="s">
        <v>1851</v>
      </c>
      <c r="D452" s="151">
        <v>44.53</v>
      </c>
      <c r="E452" s="151">
        <v>22.05</v>
      </c>
      <c r="F452" s="288">
        <v>6650</v>
      </c>
      <c r="G452" s="288">
        <f>F452+174</f>
        <v>6824</v>
      </c>
      <c r="H452" s="288">
        <f>F452-17</f>
        <v>6633</v>
      </c>
      <c r="I452" s="476" t="s">
        <v>617</v>
      </c>
      <c r="J452" s="463" t="s">
        <v>69</v>
      </c>
      <c r="K452" s="139" t="s">
        <v>2111</v>
      </c>
      <c r="L452" s="290" t="s">
        <v>2</v>
      </c>
      <c r="M452" s="289" t="s">
        <v>4076</v>
      </c>
      <c r="N452" s="139" t="s">
        <v>69</v>
      </c>
      <c r="O452" s="139" t="s">
        <v>69</v>
      </c>
      <c r="P452" s="139" t="s">
        <v>69</v>
      </c>
      <c r="Q452" s="139" t="s">
        <v>69</v>
      </c>
      <c r="R452" s="234" t="s">
        <v>4331</v>
      </c>
      <c r="S452" s="283"/>
      <c r="T452" s="283"/>
      <c r="U452" s="283"/>
      <c r="V452" s="283"/>
      <c r="W452" s="283"/>
      <c r="X452" s="283"/>
      <c r="Y452" s="283"/>
      <c r="Z452" s="283"/>
      <c r="AA452" s="283"/>
      <c r="AB452" s="283"/>
      <c r="AC452" s="283"/>
      <c r="AD452" s="283"/>
      <c r="AE452" s="283"/>
      <c r="AF452" s="283"/>
      <c r="AG452" s="283"/>
      <c r="AH452" s="283"/>
      <c r="AI452" s="283"/>
      <c r="AJ452" s="283"/>
      <c r="AK452" s="283"/>
      <c r="AL452" s="283"/>
      <c r="AM452" s="283"/>
      <c r="AN452" s="283"/>
      <c r="AO452" s="283"/>
      <c r="AP452" s="283"/>
      <c r="AQ452" s="283"/>
      <c r="AR452" s="283"/>
      <c r="AS452" s="283"/>
      <c r="AT452" s="283"/>
      <c r="AU452" s="283"/>
      <c r="AV452" s="283"/>
      <c r="AW452" s="283"/>
      <c r="AX452" s="283"/>
      <c r="AY452" s="283"/>
      <c r="AZ452" s="283"/>
      <c r="BA452" s="283"/>
      <c r="BB452" s="283"/>
      <c r="BC452" s="283"/>
      <c r="BD452" s="283"/>
      <c r="BE452" s="283"/>
      <c r="BF452" s="283"/>
      <c r="BG452" s="283"/>
      <c r="BH452" s="283"/>
      <c r="BI452" s="283"/>
      <c r="BJ452" s="283"/>
      <c r="BK452" s="283"/>
      <c r="BL452" s="283"/>
      <c r="BM452" s="283"/>
      <c r="BN452" s="283"/>
      <c r="BO452" s="283"/>
      <c r="BP452" s="283"/>
      <c r="BQ452" s="283"/>
      <c r="BR452" s="283"/>
      <c r="BS452" s="283"/>
      <c r="BT452" s="283"/>
      <c r="BU452" s="283"/>
      <c r="BV452" s="283"/>
      <c r="BW452" s="283"/>
      <c r="BX452" s="283"/>
      <c r="BY452" s="283"/>
      <c r="BZ452" s="283"/>
      <c r="CA452" s="283"/>
      <c r="CB452" s="283"/>
      <c r="CC452" s="283"/>
      <c r="CD452" s="283"/>
      <c r="CE452" s="283"/>
      <c r="CF452" s="283"/>
      <c r="CG452" s="283"/>
      <c r="CH452" s="283"/>
      <c r="CI452" s="283"/>
      <c r="CJ452" s="283"/>
      <c r="CK452" s="283"/>
      <c r="CL452" s="283"/>
      <c r="CM452" s="283"/>
      <c r="CN452" s="283"/>
      <c r="CO452" s="283"/>
      <c r="CP452" s="283"/>
      <c r="CQ452" s="283"/>
      <c r="CR452" s="283"/>
      <c r="CS452" s="283"/>
      <c r="CT452" s="283"/>
      <c r="CU452" s="283"/>
      <c r="CV452" s="283"/>
      <c r="CW452" s="283"/>
      <c r="CX452" s="283"/>
      <c r="CY452" s="283"/>
      <c r="CZ452" s="283"/>
      <c r="DA452" s="283"/>
      <c r="DB452" s="283"/>
      <c r="DC452" s="283"/>
      <c r="DD452" s="283"/>
      <c r="DE452" s="283"/>
      <c r="DF452" s="283"/>
      <c r="DG452" s="283"/>
      <c r="DH452" s="283"/>
      <c r="DI452" s="283"/>
      <c r="DJ452" s="283"/>
      <c r="DK452" s="283"/>
      <c r="DL452" s="283"/>
      <c r="DM452" s="283"/>
      <c r="DN452" s="283"/>
      <c r="DO452" s="283"/>
      <c r="DP452" s="283"/>
      <c r="DQ452" s="283"/>
      <c r="DR452" s="283"/>
      <c r="DS452" s="283"/>
      <c r="DT452" s="283"/>
      <c r="DU452" s="283"/>
      <c r="DV452" s="283"/>
      <c r="DW452" s="283"/>
    </row>
    <row r="453" spans="1:153" s="299" customFormat="1" ht="13.9" customHeight="1" x14ac:dyDescent="0.25">
      <c r="A453" s="294" t="s">
        <v>3996</v>
      </c>
      <c r="B453" s="295" t="s">
        <v>1865</v>
      </c>
      <c r="C453" s="301" t="s">
        <v>1851</v>
      </c>
      <c r="D453" s="151">
        <v>44.595878999999996</v>
      </c>
      <c r="E453" s="151">
        <v>22.010567999999999</v>
      </c>
      <c r="F453" s="293">
        <f>(G453+H453)/2</f>
        <v>8450</v>
      </c>
      <c r="G453" s="291">
        <v>9500</v>
      </c>
      <c r="H453" s="291">
        <v>7400</v>
      </c>
      <c r="I453" s="476" t="s">
        <v>4049</v>
      </c>
      <c r="J453" s="398" t="s">
        <v>69</v>
      </c>
      <c r="K453" s="295"/>
      <c r="L453" s="298"/>
      <c r="M453" s="309" t="s">
        <v>4050</v>
      </c>
      <c r="N453" s="139" t="s">
        <v>69</v>
      </c>
      <c r="O453" s="139" t="s">
        <v>69</v>
      </c>
      <c r="P453" s="139" t="s">
        <v>69</v>
      </c>
      <c r="Q453" s="139" t="s">
        <v>69</v>
      </c>
      <c r="R453" s="297"/>
      <c r="S453" s="300"/>
      <c r="T453" s="300"/>
      <c r="U453" s="300"/>
      <c r="V453" s="300"/>
      <c r="W453" s="300"/>
      <c r="X453" s="300"/>
      <c r="Y453" s="300"/>
      <c r="Z453" s="300"/>
      <c r="AA453" s="300"/>
      <c r="AB453" s="300"/>
      <c r="AC453" s="300"/>
      <c r="AD453" s="300"/>
      <c r="AE453" s="300"/>
      <c r="AF453" s="300"/>
      <c r="AG453" s="300"/>
      <c r="AH453" s="300"/>
      <c r="AI453" s="300"/>
      <c r="AJ453" s="300"/>
      <c r="AK453" s="300"/>
      <c r="AL453" s="300"/>
      <c r="AM453" s="300"/>
      <c r="AN453" s="300"/>
      <c r="AO453" s="300"/>
      <c r="AP453" s="300"/>
      <c r="AQ453" s="300"/>
      <c r="AR453" s="300"/>
      <c r="AS453" s="300"/>
      <c r="AT453" s="300"/>
      <c r="AU453" s="300"/>
      <c r="AV453" s="300"/>
      <c r="AW453" s="300"/>
      <c r="AX453" s="300"/>
      <c r="AY453" s="300"/>
      <c r="AZ453" s="300"/>
      <c r="BA453" s="300"/>
      <c r="BB453" s="300"/>
      <c r="BC453" s="300"/>
      <c r="BD453" s="300"/>
      <c r="BE453" s="300"/>
      <c r="BF453" s="300"/>
      <c r="BG453" s="300"/>
      <c r="BH453" s="300"/>
      <c r="BI453" s="300"/>
      <c r="BJ453" s="300"/>
      <c r="BK453" s="300"/>
      <c r="BL453" s="300"/>
      <c r="BM453" s="300"/>
      <c r="BN453" s="300"/>
      <c r="BO453" s="300"/>
      <c r="BP453" s="300"/>
      <c r="BQ453" s="300"/>
      <c r="BR453" s="300"/>
      <c r="BS453" s="300"/>
      <c r="BT453" s="300"/>
      <c r="BU453" s="300"/>
      <c r="BV453" s="300"/>
      <c r="BW453" s="300"/>
      <c r="BX453" s="300"/>
      <c r="BY453" s="300"/>
      <c r="BZ453" s="300"/>
      <c r="CA453" s="300"/>
      <c r="CB453" s="300"/>
      <c r="CC453" s="300"/>
      <c r="CD453" s="300"/>
      <c r="CE453" s="300"/>
      <c r="CF453" s="300"/>
      <c r="CG453" s="300"/>
      <c r="CH453" s="300"/>
      <c r="CI453" s="300"/>
      <c r="CJ453" s="300"/>
      <c r="CK453" s="300"/>
      <c r="CL453" s="300"/>
      <c r="CM453" s="300"/>
      <c r="CN453" s="300"/>
      <c r="CO453" s="300"/>
      <c r="CP453" s="300"/>
      <c r="CQ453" s="300"/>
      <c r="CR453" s="300"/>
      <c r="CS453" s="300"/>
      <c r="CT453" s="300"/>
      <c r="CU453" s="300"/>
      <c r="CV453" s="300"/>
      <c r="CW453" s="300"/>
      <c r="CX453" s="300"/>
      <c r="CY453" s="300"/>
      <c r="CZ453" s="300"/>
      <c r="DA453" s="300"/>
      <c r="DB453" s="300"/>
      <c r="DC453" s="300"/>
      <c r="DD453" s="300"/>
      <c r="DE453" s="300"/>
      <c r="DF453" s="300"/>
      <c r="DG453" s="300"/>
      <c r="DH453" s="300"/>
      <c r="DI453" s="300"/>
      <c r="DJ453" s="300"/>
      <c r="DK453" s="300"/>
      <c r="DL453" s="300"/>
      <c r="DM453" s="300"/>
      <c r="DN453" s="300"/>
      <c r="DO453" s="300"/>
      <c r="DP453" s="300"/>
      <c r="DQ453" s="300"/>
      <c r="DR453" s="300"/>
      <c r="DS453" s="300"/>
      <c r="DT453" s="300"/>
      <c r="DU453" s="300"/>
      <c r="DV453" s="300"/>
      <c r="DW453" s="300"/>
    </row>
    <row r="454" spans="1:153" s="141" customFormat="1" x14ac:dyDescent="0.2">
      <c r="A454" s="141" t="s">
        <v>2096</v>
      </c>
      <c r="B454" s="134" t="s">
        <v>2097</v>
      </c>
      <c r="C454" s="135" t="s">
        <v>2098</v>
      </c>
      <c r="D454" s="136">
        <v>45.0201558043345</v>
      </c>
      <c r="E454" s="136">
        <v>34.398193359375</v>
      </c>
      <c r="F454" s="137">
        <v>34050</v>
      </c>
      <c r="G454" s="138">
        <v>36050</v>
      </c>
      <c r="H454" s="138">
        <v>32050</v>
      </c>
      <c r="I454" s="463" t="s">
        <v>2099</v>
      </c>
      <c r="J454" s="463" t="s">
        <v>2100</v>
      </c>
      <c r="K454" s="139" t="s">
        <v>1278</v>
      </c>
      <c r="L454" s="140" t="s">
        <v>69</v>
      </c>
      <c r="M454" s="141" t="s">
        <v>2101</v>
      </c>
      <c r="N454" s="134" t="s">
        <v>69</v>
      </c>
      <c r="O454" s="134" t="s">
        <v>69</v>
      </c>
      <c r="P454" s="134" t="s">
        <v>69</v>
      </c>
      <c r="Q454" s="134" t="s">
        <v>69</v>
      </c>
      <c r="R454" s="134"/>
      <c r="S454" s="135"/>
      <c r="T454" s="135"/>
      <c r="V454" s="149"/>
      <c r="Y454" s="134"/>
      <c r="Z454" s="134"/>
    </row>
    <row r="455" spans="1:153" s="141" customFormat="1" x14ac:dyDescent="0.2">
      <c r="A455" s="141" t="s">
        <v>1570</v>
      </c>
      <c r="B455" s="134" t="s">
        <v>2102</v>
      </c>
      <c r="C455" s="135" t="s">
        <v>2098</v>
      </c>
      <c r="D455" s="136">
        <v>48.68</v>
      </c>
      <c r="E455" s="136">
        <v>34.17</v>
      </c>
      <c r="F455" s="137">
        <f>(G455+H455)/2</f>
        <v>8917</v>
      </c>
      <c r="G455" s="138">
        <v>9193</v>
      </c>
      <c r="H455" s="138">
        <v>8641</v>
      </c>
      <c r="I455" s="463" t="s">
        <v>531</v>
      </c>
      <c r="J455" s="463" t="s">
        <v>69</v>
      </c>
      <c r="K455" s="139" t="s">
        <v>1363</v>
      </c>
      <c r="L455" s="140" t="s">
        <v>69</v>
      </c>
      <c r="M455" s="141" t="s">
        <v>2103</v>
      </c>
      <c r="N455" s="134" t="s">
        <v>69</v>
      </c>
      <c r="O455" s="134" t="s">
        <v>69</v>
      </c>
      <c r="P455" s="134" t="s">
        <v>69</v>
      </c>
      <c r="Q455" s="134" t="s">
        <v>69</v>
      </c>
      <c r="R455" s="134"/>
      <c r="S455" s="135"/>
      <c r="T455" s="135"/>
      <c r="V455" s="149"/>
      <c r="Y455" s="134"/>
      <c r="Z455" s="134"/>
    </row>
    <row r="456" spans="1:153" s="141" customFormat="1" x14ac:dyDescent="0.2">
      <c r="A456" s="141" t="s">
        <v>406</v>
      </c>
      <c r="B456" s="134" t="s">
        <v>2104</v>
      </c>
      <c r="C456" s="135" t="s">
        <v>2105</v>
      </c>
      <c r="D456" s="136">
        <v>51.323999999999998</v>
      </c>
      <c r="E456" s="136">
        <v>-2.7530000000000001</v>
      </c>
      <c r="F456" s="137">
        <f t="shared" ref="F456:F461" si="26">(G456+H456)/2</f>
        <v>8604.5</v>
      </c>
      <c r="G456" s="138">
        <v>8750</v>
      </c>
      <c r="H456" s="138">
        <v>8459</v>
      </c>
      <c r="I456" s="463" t="s">
        <v>2106</v>
      </c>
      <c r="J456" s="463" t="s">
        <v>69</v>
      </c>
      <c r="K456" s="139" t="s">
        <v>2107</v>
      </c>
      <c r="L456" s="140" t="s">
        <v>2</v>
      </c>
      <c r="M456" s="141" t="s">
        <v>2108</v>
      </c>
      <c r="N456" s="134" t="s">
        <v>2109</v>
      </c>
      <c r="O456" s="134" t="s">
        <v>69</v>
      </c>
      <c r="P456" s="134" t="s">
        <v>69</v>
      </c>
      <c r="Q456" s="134" t="s">
        <v>69</v>
      </c>
      <c r="R456" s="134"/>
      <c r="S456" s="135"/>
      <c r="T456" s="135"/>
      <c r="V456" s="149"/>
      <c r="Y456" s="134"/>
      <c r="Z456" s="134"/>
    </row>
    <row r="457" spans="1:153" s="141" customFormat="1" x14ac:dyDescent="0.2">
      <c r="A457" s="141" t="s">
        <v>406</v>
      </c>
      <c r="B457" s="134" t="s">
        <v>2110</v>
      </c>
      <c r="C457" s="135" t="s">
        <v>2105</v>
      </c>
      <c r="D457" s="136">
        <v>50.468000000000004</v>
      </c>
      <c r="E457" s="136">
        <v>-3.5030000000000001</v>
      </c>
      <c r="F457" s="137">
        <f t="shared" si="26"/>
        <v>7312</v>
      </c>
      <c r="G457" s="138">
        <v>7478</v>
      </c>
      <c r="H457" s="138">
        <v>7146</v>
      </c>
      <c r="I457" s="463" t="s">
        <v>622</v>
      </c>
      <c r="J457" s="463" t="s">
        <v>69</v>
      </c>
      <c r="K457" s="139" t="s">
        <v>2111</v>
      </c>
      <c r="L457" s="140" t="s">
        <v>2</v>
      </c>
      <c r="M457" s="141" t="s">
        <v>2112</v>
      </c>
      <c r="N457" s="134" t="s">
        <v>2113</v>
      </c>
      <c r="O457" s="134" t="s">
        <v>69</v>
      </c>
      <c r="P457" s="134" t="s">
        <v>69</v>
      </c>
      <c r="Q457" s="134" t="s">
        <v>69</v>
      </c>
      <c r="R457" s="134"/>
      <c r="S457" s="135"/>
      <c r="T457" s="135"/>
      <c r="V457" s="149"/>
      <c r="Y457" s="134"/>
      <c r="Z457" s="134"/>
    </row>
    <row r="458" spans="1:153" s="141" customFormat="1" x14ac:dyDescent="0.2">
      <c r="A458" s="141" t="s">
        <v>406</v>
      </c>
      <c r="B458" s="134" t="s">
        <v>2114</v>
      </c>
      <c r="C458" s="135" t="s">
        <v>2105</v>
      </c>
      <c r="D458" s="136">
        <v>5.1630000000000003</v>
      </c>
      <c r="E458" s="136">
        <v>-4.6920000000000002</v>
      </c>
      <c r="F458" s="137">
        <f t="shared" si="26"/>
        <v>7398.5</v>
      </c>
      <c r="G458" s="138">
        <v>7593</v>
      </c>
      <c r="H458" s="138">
        <v>7204</v>
      </c>
      <c r="I458" s="463" t="s">
        <v>12</v>
      </c>
      <c r="J458" s="463" t="s">
        <v>516</v>
      </c>
      <c r="K458" s="139" t="s">
        <v>2111</v>
      </c>
      <c r="L458" s="140" t="s">
        <v>14</v>
      </c>
      <c r="M458" s="141" t="s">
        <v>2115</v>
      </c>
      <c r="N458" s="134" t="s">
        <v>2116</v>
      </c>
      <c r="O458" s="134" t="s">
        <v>69</v>
      </c>
      <c r="P458" s="134" t="s">
        <v>69</v>
      </c>
      <c r="Q458" s="134" t="s">
        <v>69</v>
      </c>
      <c r="R458" s="134"/>
      <c r="S458" s="135"/>
      <c r="T458" s="135"/>
      <c r="V458" s="149"/>
      <c r="Y458" s="134"/>
      <c r="Z458" s="134"/>
    </row>
    <row r="459" spans="1:153" s="141" customFormat="1" x14ac:dyDescent="0.2">
      <c r="A459" s="141" t="s">
        <v>406</v>
      </c>
      <c r="B459" s="134" t="s">
        <v>2104</v>
      </c>
      <c r="C459" s="135" t="s">
        <v>2105</v>
      </c>
      <c r="D459" s="136">
        <v>51.323999999999998</v>
      </c>
      <c r="E459" s="136">
        <v>-2.7530000000000001</v>
      </c>
      <c r="F459" s="137">
        <f t="shared" si="26"/>
        <v>8449</v>
      </c>
      <c r="G459" s="138">
        <v>8596</v>
      </c>
      <c r="H459" s="138">
        <v>8302</v>
      </c>
      <c r="I459" s="463" t="s">
        <v>510</v>
      </c>
      <c r="J459" s="463" t="s">
        <v>2117</v>
      </c>
      <c r="K459" s="139" t="s">
        <v>2107</v>
      </c>
      <c r="L459" s="140" t="s">
        <v>14</v>
      </c>
      <c r="M459" s="141" t="s">
        <v>2118</v>
      </c>
      <c r="N459" s="134" t="s">
        <v>2119</v>
      </c>
      <c r="O459" s="134" t="s">
        <v>69</v>
      </c>
      <c r="P459" s="134" t="s">
        <v>69</v>
      </c>
      <c r="Q459" s="134" t="s">
        <v>69</v>
      </c>
      <c r="R459" s="134"/>
      <c r="S459" s="135"/>
      <c r="T459" s="135"/>
      <c r="V459" s="149"/>
      <c r="Y459" s="134"/>
      <c r="Z459" s="134"/>
    </row>
    <row r="460" spans="1:153" s="141" customFormat="1" x14ac:dyDescent="0.2">
      <c r="A460" s="141" t="s">
        <v>406</v>
      </c>
      <c r="B460" s="134" t="s">
        <v>2120</v>
      </c>
      <c r="C460" s="135" t="s">
        <v>2105</v>
      </c>
      <c r="D460" s="136">
        <v>51.280999999999999</v>
      </c>
      <c r="E460" s="136">
        <v>-2.7650000000000001</v>
      </c>
      <c r="F460" s="137">
        <f t="shared" si="26"/>
        <v>8294.5</v>
      </c>
      <c r="G460" s="138">
        <v>8607</v>
      </c>
      <c r="H460" s="138">
        <v>7982</v>
      </c>
      <c r="I460" s="463" t="s">
        <v>510</v>
      </c>
      <c r="J460" s="463" t="s">
        <v>516</v>
      </c>
      <c r="K460" s="139" t="s">
        <v>2107</v>
      </c>
      <c r="L460" s="140" t="s">
        <v>14</v>
      </c>
      <c r="M460" s="141" t="s">
        <v>2121</v>
      </c>
      <c r="N460" s="134" t="s">
        <v>2122</v>
      </c>
      <c r="O460" s="134" t="s">
        <v>69</v>
      </c>
      <c r="P460" s="134" t="s">
        <v>69</v>
      </c>
      <c r="Q460" s="134" t="s">
        <v>69</v>
      </c>
      <c r="R460" s="134"/>
      <c r="S460" s="135"/>
      <c r="T460" s="135"/>
      <c r="V460" s="149"/>
      <c r="Y460" s="134"/>
      <c r="Z460" s="134"/>
    </row>
    <row r="461" spans="1:153" s="141" customFormat="1" x14ac:dyDescent="0.2">
      <c r="A461" s="141" t="s">
        <v>406</v>
      </c>
      <c r="B461" s="134" t="s">
        <v>2123</v>
      </c>
      <c r="C461" s="135" t="s">
        <v>2105</v>
      </c>
      <c r="D461" s="136">
        <v>56.011000000000003</v>
      </c>
      <c r="E461" s="136">
        <v>-6.24</v>
      </c>
      <c r="F461" s="137">
        <f t="shared" si="26"/>
        <v>4029.5</v>
      </c>
      <c r="G461" s="138">
        <v>4256</v>
      </c>
      <c r="H461" s="138">
        <v>3803</v>
      </c>
      <c r="I461" s="463" t="s">
        <v>2124</v>
      </c>
      <c r="J461" s="463" t="s">
        <v>69</v>
      </c>
      <c r="K461" s="139" t="s">
        <v>2111</v>
      </c>
      <c r="L461" s="140" t="s">
        <v>2</v>
      </c>
      <c r="M461" s="141" t="s">
        <v>2125</v>
      </c>
      <c r="N461" s="134" t="s">
        <v>2126</v>
      </c>
      <c r="O461" s="134" t="s">
        <v>69</v>
      </c>
      <c r="P461" s="134" t="s">
        <v>69</v>
      </c>
      <c r="Q461" s="134" t="s">
        <v>69</v>
      </c>
      <c r="R461" s="134"/>
      <c r="S461" s="135"/>
      <c r="T461" s="135"/>
      <c r="V461" s="149"/>
      <c r="Y461" s="134"/>
      <c r="Z461" s="134"/>
    </row>
    <row r="462" spans="1:153" s="141" customFormat="1" x14ac:dyDescent="0.2">
      <c r="B462" s="134"/>
      <c r="C462" s="135"/>
      <c r="D462" s="136"/>
      <c r="E462" s="136"/>
      <c r="F462" s="137"/>
      <c r="G462" s="138"/>
      <c r="H462" s="138"/>
      <c r="I462" s="463"/>
      <c r="J462" s="134"/>
      <c r="K462" s="139"/>
      <c r="L462" s="140"/>
      <c r="N462" s="134"/>
      <c r="O462" s="134"/>
      <c r="P462" s="134"/>
      <c r="Q462" s="134"/>
      <c r="R462" s="140"/>
      <c r="S462" s="135"/>
      <c r="T462" s="135"/>
      <c r="U462" s="135"/>
      <c r="V462" s="135"/>
      <c r="W462" s="135"/>
      <c r="X462" s="135"/>
      <c r="Y462" s="135"/>
      <c r="Z462" s="135"/>
      <c r="AA462" s="135"/>
      <c r="AB462" s="135"/>
      <c r="AC462" s="135"/>
      <c r="AD462" s="135"/>
      <c r="AE462" s="135"/>
      <c r="AF462" s="135"/>
      <c r="AG462" s="135"/>
      <c r="AH462" s="135"/>
      <c r="AI462" s="135"/>
      <c r="AJ462" s="135"/>
      <c r="AK462" s="135"/>
      <c r="AL462" s="135"/>
      <c r="AM462" s="135"/>
      <c r="AN462" s="135"/>
      <c r="AO462" s="135"/>
      <c r="AP462" s="135"/>
      <c r="AQ462" s="135"/>
      <c r="AR462" s="135"/>
      <c r="AS462" s="135"/>
      <c r="AT462" s="135"/>
      <c r="AU462" s="135"/>
      <c r="AV462" s="135"/>
      <c r="AW462" s="135"/>
      <c r="AX462" s="135"/>
      <c r="AY462" s="135"/>
      <c r="AZ462" s="135"/>
      <c r="BA462" s="135"/>
      <c r="BB462" s="135"/>
      <c r="BC462" s="135"/>
      <c r="BD462" s="135"/>
      <c r="BE462" s="135"/>
      <c r="BF462" s="135"/>
      <c r="BG462" s="135"/>
      <c r="BH462" s="135"/>
      <c r="BI462" s="135"/>
      <c r="BJ462" s="135"/>
      <c r="BK462" s="135"/>
      <c r="BL462" s="135"/>
      <c r="BM462" s="135"/>
      <c r="BN462" s="135"/>
      <c r="BO462" s="135"/>
      <c r="BP462" s="135"/>
      <c r="BQ462" s="135"/>
      <c r="BR462" s="135"/>
      <c r="BS462" s="135"/>
      <c r="BT462" s="135"/>
      <c r="BU462" s="135"/>
      <c r="BV462" s="135"/>
      <c r="BW462" s="135"/>
      <c r="BX462" s="135"/>
      <c r="BY462" s="135"/>
      <c r="BZ462" s="135"/>
      <c r="CA462" s="135"/>
      <c r="CB462" s="135"/>
      <c r="CC462" s="135"/>
      <c r="CD462" s="135"/>
      <c r="CE462" s="135"/>
      <c r="CF462" s="135"/>
      <c r="CG462" s="135"/>
      <c r="CH462" s="135"/>
      <c r="CI462" s="135"/>
      <c r="CJ462" s="135"/>
      <c r="CK462" s="135"/>
      <c r="CL462" s="135"/>
      <c r="CM462" s="135"/>
      <c r="CN462" s="135"/>
      <c r="CO462" s="135"/>
      <c r="CP462" s="135"/>
      <c r="CQ462" s="135"/>
      <c r="CR462" s="135"/>
      <c r="CS462" s="135"/>
      <c r="CT462" s="135"/>
      <c r="CU462" s="135"/>
      <c r="CV462" s="135"/>
      <c r="CW462" s="135"/>
      <c r="CX462" s="135"/>
      <c r="CY462" s="135"/>
      <c r="CZ462" s="135"/>
      <c r="DA462" s="135"/>
      <c r="DB462" s="135"/>
      <c r="DC462" s="135"/>
      <c r="DD462" s="135"/>
      <c r="DE462" s="135"/>
      <c r="DF462" s="135"/>
      <c r="DG462" s="135"/>
      <c r="DH462" s="135"/>
      <c r="DI462" s="135"/>
      <c r="DJ462" s="135"/>
      <c r="DK462" s="135"/>
      <c r="DL462" s="135"/>
      <c r="DM462" s="135"/>
      <c r="DN462" s="135"/>
      <c r="DO462" s="135"/>
      <c r="DP462" s="135"/>
      <c r="DQ462" s="135"/>
      <c r="DR462" s="135"/>
      <c r="DS462" s="135"/>
      <c r="DT462" s="135"/>
      <c r="DU462" s="135"/>
      <c r="DV462" s="135"/>
      <c r="DW462" s="135"/>
      <c r="DX462" s="135"/>
      <c r="DY462" s="135"/>
      <c r="DZ462" s="135"/>
      <c r="EA462" s="135"/>
      <c r="EB462" s="135"/>
      <c r="EC462" s="135"/>
      <c r="ED462" s="135"/>
      <c r="EE462" s="135"/>
      <c r="EF462" s="135"/>
      <c r="EG462" s="135"/>
      <c r="EH462" s="135"/>
      <c r="EI462" s="135"/>
      <c r="EJ462" s="135"/>
      <c r="EK462" s="135"/>
      <c r="EL462" s="135"/>
      <c r="EM462" s="135"/>
      <c r="EN462" s="135"/>
      <c r="EO462" s="135"/>
      <c r="EP462" s="135"/>
      <c r="EQ462" s="135"/>
      <c r="ER462" s="135"/>
      <c r="ES462" s="135"/>
      <c r="ET462" s="135"/>
      <c r="EU462" s="135"/>
      <c r="EV462" s="135"/>
      <c r="EW462" s="135"/>
    </row>
    <row r="463" spans="1:153" s="490" customFormat="1" ht="15" x14ac:dyDescent="0.25">
      <c r="A463" s="485" t="s">
        <v>4717</v>
      </c>
      <c r="B463" s="481"/>
      <c r="C463" s="482"/>
      <c r="D463" s="483"/>
      <c r="E463" s="483"/>
      <c r="F463" s="484"/>
      <c r="G463" s="484"/>
      <c r="H463" s="484"/>
      <c r="I463" s="485"/>
      <c r="J463" s="481"/>
      <c r="K463" s="481"/>
      <c r="L463" s="486"/>
      <c r="M463" s="479"/>
      <c r="N463" s="481"/>
      <c r="O463" s="487"/>
      <c r="P463" s="487"/>
      <c r="Q463" s="487"/>
      <c r="R463" s="488"/>
      <c r="S463" s="489"/>
      <c r="T463" s="489"/>
      <c r="U463" s="489"/>
      <c r="V463" s="489"/>
      <c r="W463" s="489"/>
      <c r="X463" s="489"/>
      <c r="Y463" s="489"/>
      <c r="Z463" s="489"/>
      <c r="AA463" s="489"/>
      <c r="AB463" s="489"/>
      <c r="AC463" s="489"/>
      <c r="AD463" s="489"/>
      <c r="AE463" s="489"/>
      <c r="AF463" s="489"/>
      <c r="AG463" s="489"/>
      <c r="AH463" s="489"/>
      <c r="AI463" s="489"/>
      <c r="AJ463" s="489"/>
      <c r="AK463" s="489"/>
      <c r="AL463" s="489"/>
      <c r="AM463" s="489"/>
      <c r="AN463" s="489"/>
      <c r="AO463" s="489"/>
      <c r="AP463" s="489"/>
      <c r="AQ463" s="489"/>
      <c r="AR463" s="489"/>
      <c r="AS463" s="489"/>
      <c r="AT463" s="489"/>
      <c r="AU463" s="489"/>
      <c r="AV463" s="489"/>
      <c r="AW463" s="489"/>
      <c r="AX463" s="489"/>
      <c r="AY463" s="489"/>
      <c r="AZ463" s="489"/>
      <c r="BA463" s="489"/>
      <c r="BB463" s="489"/>
      <c r="BC463" s="489"/>
      <c r="BD463" s="489"/>
      <c r="BE463" s="489"/>
      <c r="BF463" s="489"/>
      <c r="BG463" s="489"/>
      <c r="BH463" s="489"/>
      <c r="BI463" s="489"/>
      <c r="BJ463" s="489"/>
      <c r="BK463" s="489"/>
      <c r="BL463" s="489"/>
      <c r="BM463" s="489"/>
      <c r="BN463" s="489"/>
      <c r="BO463" s="489"/>
      <c r="BP463" s="489"/>
      <c r="BQ463" s="489"/>
      <c r="BR463" s="489"/>
      <c r="BS463" s="489"/>
      <c r="BT463" s="489"/>
      <c r="BU463" s="489"/>
      <c r="BV463" s="489"/>
      <c r="BW463" s="489"/>
      <c r="BX463" s="489"/>
      <c r="BY463" s="489"/>
      <c r="BZ463" s="489"/>
      <c r="CA463" s="489"/>
      <c r="CB463" s="489"/>
      <c r="CC463" s="489"/>
      <c r="CD463" s="489"/>
      <c r="CE463" s="489"/>
      <c r="CF463" s="489"/>
      <c r="CG463" s="489"/>
      <c r="CH463" s="489"/>
      <c r="CI463" s="489"/>
      <c r="CJ463" s="489"/>
      <c r="CK463" s="489"/>
      <c r="CL463" s="489"/>
      <c r="CM463" s="489"/>
      <c r="CN463" s="489"/>
      <c r="CO463" s="489"/>
      <c r="CP463" s="489"/>
      <c r="CQ463" s="489"/>
      <c r="CR463" s="489"/>
      <c r="CS463" s="489"/>
      <c r="CT463" s="489"/>
      <c r="CU463" s="489"/>
      <c r="CV463" s="489"/>
      <c r="CW463" s="489"/>
      <c r="CX463" s="489"/>
      <c r="CY463" s="489"/>
      <c r="CZ463" s="489"/>
      <c r="DA463" s="489"/>
      <c r="DB463" s="489"/>
      <c r="DC463" s="489"/>
      <c r="DD463" s="489"/>
      <c r="DE463" s="489"/>
      <c r="DF463" s="489"/>
      <c r="DG463" s="489"/>
      <c r="DH463" s="489"/>
      <c r="DI463" s="489"/>
      <c r="DJ463" s="489"/>
      <c r="DK463" s="489"/>
      <c r="DL463" s="489"/>
      <c r="DM463" s="489"/>
      <c r="DN463" s="489"/>
      <c r="DO463" s="489"/>
      <c r="DP463" s="489"/>
      <c r="DQ463" s="489"/>
      <c r="DR463" s="489"/>
      <c r="DS463" s="489"/>
      <c r="DT463" s="489"/>
      <c r="DU463" s="489"/>
      <c r="DV463" s="489"/>
      <c r="DW463" s="489"/>
      <c r="DX463" s="489"/>
      <c r="DY463" s="489"/>
      <c r="DZ463" s="489"/>
      <c r="EA463" s="489"/>
      <c r="EB463" s="489"/>
      <c r="EC463" s="489"/>
      <c r="ED463" s="489"/>
      <c r="EE463" s="489"/>
      <c r="EF463" s="489"/>
      <c r="EG463" s="489"/>
      <c r="EH463" s="489"/>
      <c r="EI463" s="489"/>
      <c r="EJ463" s="489"/>
      <c r="EK463" s="489"/>
      <c r="EL463" s="489"/>
      <c r="EM463" s="489"/>
      <c r="EN463" s="489"/>
      <c r="EO463" s="489"/>
      <c r="EP463" s="489"/>
      <c r="EQ463" s="489"/>
      <c r="ER463" s="489"/>
      <c r="ES463" s="489"/>
      <c r="ET463" s="489"/>
      <c r="EU463" s="489"/>
      <c r="EV463" s="489"/>
      <c r="EW463" s="489"/>
    </row>
    <row r="464" spans="1:153" s="490" customFormat="1" ht="15" x14ac:dyDescent="0.25">
      <c r="A464" s="485" t="s">
        <v>4315</v>
      </c>
      <c r="B464" s="481"/>
      <c r="C464" s="482"/>
      <c r="D464" s="483"/>
      <c r="E464" s="483"/>
      <c r="F464" s="484"/>
      <c r="G464" s="484"/>
      <c r="H464" s="484"/>
      <c r="I464" s="485"/>
      <c r="J464" s="481"/>
      <c r="K464" s="481"/>
      <c r="L464" s="486"/>
      <c r="M464" s="479"/>
      <c r="N464" s="481"/>
      <c r="O464" s="487"/>
      <c r="P464" s="487"/>
      <c r="Q464" s="487"/>
      <c r="R464" s="488"/>
      <c r="S464" s="489"/>
      <c r="T464" s="489"/>
      <c r="U464" s="489"/>
      <c r="V464" s="489"/>
      <c r="W464" s="489"/>
      <c r="X464" s="489"/>
      <c r="Y464" s="489"/>
      <c r="Z464" s="489"/>
      <c r="AA464" s="489"/>
      <c r="AB464" s="489"/>
      <c r="AC464" s="489"/>
      <c r="AD464" s="489"/>
      <c r="AE464" s="489"/>
      <c r="AF464" s="489"/>
      <c r="AG464" s="489"/>
      <c r="AH464" s="489"/>
      <c r="AI464" s="489"/>
      <c r="AJ464" s="489"/>
      <c r="AK464" s="489"/>
      <c r="AL464" s="489"/>
      <c r="AM464" s="489"/>
      <c r="AN464" s="489"/>
      <c r="AO464" s="489"/>
      <c r="AP464" s="489"/>
      <c r="AQ464" s="489"/>
      <c r="AR464" s="489"/>
      <c r="AS464" s="489"/>
      <c r="AT464" s="489"/>
      <c r="AU464" s="489"/>
      <c r="AV464" s="489"/>
      <c r="AW464" s="489"/>
      <c r="AX464" s="489"/>
      <c r="AY464" s="489"/>
      <c r="AZ464" s="489"/>
      <c r="BA464" s="489"/>
      <c r="BB464" s="489"/>
      <c r="BC464" s="489"/>
      <c r="BD464" s="489"/>
      <c r="BE464" s="489"/>
      <c r="BF464" s="489"/>
      <c r="BG464" s="489"/>
      <c r="BH464" s="489"/>
      <c r="BI464" s="489"/>
      <c r="BJ464" s="489"/>
      <c r="BK464" s="489"/>
      <c r="BL464" s="489"/>
      <c r="BM464" s="489"/>
      <c r="BN464" s="489"/>
      <c r="BO464" s="489"/>
      <c r="BP464" s="489"/>
      <c r="BQ464" s="489"/>
      <c r="BR464" s="489"/>
      <c r="BS464" s="489"/>
      <c r="BT464" s="489"/>
      <c r="BU464" s="489"/>
      <c r="BV464" s="489"/>
      <c r="BW464" s="489"/>
      <c r="BX464" s="489"/>
      <c r="BY464" s="489"/>
      <c r="BZ464" s="489"/>
      <c r="CA464" s="489"/>
      <c r="CB464" s="489"/>
      <c r="CC464" s="489"/>
      <c r="CD464" s="489"/>
      <c r="CE464" s="489"/>
      <c r="CF464" s="489"/>
      <c r="CG464" s="489"/>
      <c r="CH464" s="489"/>
      <c r="CI464" s="489"/>
      <c r="CJ464" s="489"/>
      <c r="CK464" s="489"/>
      <c r="CL464" s="489"/>
      <c r="CM464" s="489"/>
      <c r="CN464" s="489"/>
      <c r="CO464" s="489"/>
      <c r="CP464" s="489"/>
      <c r="CQ464" s="489"/>
      <c r="CR464" s="489"/>
      <c r="CS464" s="489"/>
      <c r="CT464" s="489"/>
      <c r="CU464" s="489"/>
      <c r="CV464" s="489"/>
      <c r="CW464" s="489"/>
      <c r="CX464" s="489"/>
      <c r="CY464" s="489"/>
      <c r="CZ464" s="489"/>
      <c r="DA464" s="489"/>
      <c r="DB464" s="489"/>
      <c r="DC464" s="489"/>
      <c r="DD464" s="489"/>
      <c r="DE464" s="489"/>
      <c r="DF464" s="489"/>
      <c r="DG464" s="489"/>
      <c r="DH464" s="489"/>
      <c r="DI464" s="489"/>
      <c r="DJ464" s="489"/>
      <c r="DK464" s="489"/>
      <c r="DL464" s="489"/>
      <c r="DM464" s="489"/>
      <c r="DN464" s="489"/>
      <c r="DO464" s="489"/>
      <c r="DP464" s="489"/>
      <c r="DQ464" s="489"/>
      <c r="DR464" s="489"/>
      <c r="DS464" s="489"/>
      <c r="DT464" s="489"/>
      <c r="DU464" s="489"/>
      <c r="DV464" s="489"/>
      <c r="DW464" s="489"/>
      <c r="DX464" s="489"/>
      <c r="DY464" s="489"/>
      <c r="DZ464" s="489"/>
      <c r="EA464" s="489"/>
      <c r="EB464" s="489"/>
      <c r="EC464" s="489"/>
      <c r="ED464" s="489"/>
      <c r="EE464" s="489"/>
      <c r="EF464" s="489"/>
      <c r="EG464" s="489"/>
      <c r="EH464" s="489"/>
      <c r="EI464" s="489"/>
      <c r="EJ464" s="489"/>
      <c r="EK464" s="489"/>
      <c r="EL464" s="489"/>
      <c r="EM464" s="489"/>
      <c r="EN464" s="489"/>
      <c r="EO464" s="489"/>
      <c r="EP464" s="489"/>
      <c r="EQ464" s="489"/>
      <c r="ER464" s="489"/>
      <c r="ES464" s="489"/>
      <c r="ET464" s="489"/>
      <c r="EU464" s="489"/>
      <c r="EV464" s="489"/>
      <c r="EW464" s="489"/>
    </row>
    <row r="465" spans="1:153" s="490" customFormat="1" ht="15" x14ac:dyDescent="0.25">
      <c r="A465" s="485" t="s">
        <v>4684</v>
      </c>
      <c r="B465" s="481"/>
      <c r="C465" s="482"/>
      <c r="D465" s="483"/>
      <c r="E465" s="483"/>
      <c r="F465" s="484"/>
      <c r="G465" s="484"/>
      <c r="H465" s="484"/>
      <c r="I465" s="485"/>
      <c r="J465" s="481"/>
      <c r="K465" s="481"/>
      <c r="L465" s="486"/>
      <c r="M465" s="479"/>
      <c r="N465" s="481"/>
      <c r="O465" s="487"/>
      <c r="P465" s="487"/>
      <c r="Q465" s="487"/>
      <c r="R465" s="488"/>
      <c r="S465" s="489"/>
      <c r="T465" s="489"/>
      <c r="U465" s="489"/>
      <c r="V465" s="489"/>
      <c r="W465" s="489"/>
      <c r="X465" s="489"/>
      <c r="Y465" s="489"/>
      <c r="Z465" s="489"/>
      <c r="AA465" s="489"/>
      <c r="AB465" s="489"/>
      <c r="AC465" s="489"/>
      <c r="AD465" s="489"/>
      <c r="AE465" s="489"/>
      <c r="AF465" s="489"/>
      <c r="AG465" s="489"/>
      <c r="AH465" s="489"/>
      <c r="AI465" s="489"/>
      <c r="AJ465" s="489"/>
      <c r="AK465" s="489"/>
      <c r="AL465" s="489"/>
      <c r="AM465" s="489"/>
      <c r="AN465" s="489"/>
      <c r="AO465" s="489"/>
      <c r="AP465" s="489"/>
      <c r="AQ465" s="489"/>
      <c r="AR465" s="489"/>
      <c r="AS465" s="489"/>
      <c r="AT465" s="489"/>
      <c r="AU465" s="489"/>
      <c r="AV465" s="489"/>
      <c r="AW465" s="489"/>
      <c r="AX465" s="489"/>
      <c r="AY465" s="489"/>
      <c r="AZ465" s="489"/>
      <c r="BA465" s="489"/>
      <c r="BB465" s="489"/>
      <c r="BC465" s="489"/>
      <c r="BD465" s="489"/>
      <c r="BE465" s="489"/>
      <c r="BF465" s="489"/>
      <c r="BG465" s="489"/>
      <c r="BH465" s="489"/>
      <c r="BI465" s="489"/>
      <c r="BJ465" s="489"/>
      <c r="BK465" s="489"/>
      <c r="BL465" s="489"/>
      <c r="BM465" s="489"/>
      <c r="BN465" s="489"/>
      <c r="BO465" s="489"/>
      <c r="BP465" s="489"/>
      <c r="BQ465" s="489"/>
      <c r="BR465" s="489"/>
      <c r="BS465" s="489"/>
      <c r="BT465" s="489"/>
      <c r="BU465" s="489"/>
      <c r="BV465" s="489"/>
      <c r="BW465" s="489"/>
      <c r="BX465" s="489"/>
      <c r="BY465" s="489"/>
      <c r="BZ465" s="489"/>
      <c r="CA465" s="489"/>
      <c r="CB465" s="489"/>
      <c r="CC465" s="489"/>
      <c r="CD465" s="489"/>
      <c r="CE465" s="489"/>
      <c r="CF465" s="489"/>
      <c r="CG465" s="489"/>
      <c r="CH465" s="489"/>
      <c r="CI465" s="489"/>
      <c r="CJ465" s="489"/>
      <c r="CK465" s="489"/>
      <c r="CL465" s="489"/>
      <c r="CM465" s="489"/>
      <c r="CN465" s="489"/>
      <c r="CO465" s="489"/>
      <c r="CP465" s="489"/>
      <c r="CQ465" s="489"/>
      <c r="CR465" s="489"/>
      <c r="CS465" s="489"/>
      <c r="CT465" s="489"/>
      <c r="CU465" s="489"/>
      <c r="CV465" s="489"/>
      <c r="CW465" s="489"/>
      <c r="CX465" s="489"/>
      <c r="CY465" s="489"/>
      <c r="CZ465" s="489"/>
      <c r="DA465" s="489"/>
      <c r="DB465" s="489"/>
      <c r="DC465" s="489"/>
      <c r="DD465" s="489"/>
      <c r="DE465" s="489"/>
      <c r="DF465" s="489"/>
      <c r="DG465" s="489"/>
      <c r="DH465" s="489"/>
      <c r="DI465" s="489"/>
      <c r="DJ465" s="489"/>
      <c r="DK465" s="489"/>
      <c r="DL465" s="489"/>
      <c r="DM465" s="489"/>
      <c r="DN465" s="489"/>
      <c r="DO465" s="489"/>
      <c r="DP465" s="489"/>
      <c r="DQ465" s="489"/>
      <c r="DR465" s="489"/>
      <c r="DS465" s="489"/>
      <c r="DT465" s="489"/>
      <c r="DU465" s="489"/>
      <c r="DV465" s="489"/>
      <c r="DW465" s="489"/>
      <c r="DX465" s="489"/>
      <c r="DY465" s="489"/>
      <c r="DZ465" s="489"/>
      <c r="EA465" s="489"/>
      <c r="EB465" s="489"/>
      <c r="EC465" s="489"/>
      <c r="ED465" s="489"/>
      <c r="EE465" s="489"/>
      <c r="EF465" s="489"/>
      <c r="EG465" s="489"/>
      <c r="EH465" s="489"/>
      <c r="EI465" s="489"/>
      <c r="EJ465" s="489"/>
      <c r="EK465" s="489"/>
      <c r="EL465" s="489"/>
      <c r="EM465" s="489"/>
      <c r="EN465" s="489"/>
      <c r="EO465" s="489"/>
      <c r="EP465" s="489"/>
      <c r="EQ465" s="489"/>
      <c r="ER465" s="489"/>
      <c r="ES465" s="489"/>
      <c r="ET465" s="489"/>
      <c r="EU465" s="489"/>
      <c r="EV465" s="489"/>
      <c r="EW465" s="489"/>
    </row>
    <row r="466" spans="1:153" s="490" customFormat="1" ht="15" x14ac:dyDescent="0.25">
      <c r="A466" s="485" t="s">
        <v>4562</v>
      </c>
      <c r="B466" s="481"/>
      <c r="C466" s="482"/>
      <c r="D466" s="483"/>
      <c r="E466" s="483"/>
      <c r="F466" s="484"/>
      <c r="G466" s="484"/>
      <c r="H466" s="484"/>
      <c r="I466" s="485"/>
      <c r="J466" s="481"/>
      <c r="K466" s="481"/>
      <c r="L466" s="486"/>
      <c r="M466" s="479"/>
      <c r="N466" s="481"/>
      <c r="O466" s="487"/>
      <c r="P466" s="487"/>
      <c r="Q466" s="487"/>
      <c r="R466" s="488"/>
      <c r="S466" s="489"/>
      <c r="T466" s="489"/>
      <c r="U466" s="489"/>
      <c r="V466" s="489"/>
      <c r="W466" s="489"/>
      <c r="X466" s="489"/>
      <c r="Y466" s="489"/>
      <c r="Z466" s="489"/>
      <c r="AA466" s="489"/>
      <c r="AB466" s="489"/>
      <c r="AC466" s="489"/>
      <c r="AD466" s="489"/>
      <c r="AE466" s="489"/>
      <c r="AF466" s="489"/>
      <c r="AG466" s="489"/>
      <c r="AH466" s="489"/>
      <c r="AI466" s="489"/>
      <c r="AJ466" s="489"/>
      <c r="AK466" s="489"/>
      <c r="AL466" s="489"/>
      <c r="AM466" s="489"/>
      <c r="AN466" s="489"/>
      <c r="AO466" s="489"/>
      <c r="AP466" s="489"/>
      <c r="AQ466" s="489"/>
      <c r="AR466" s="489"/>
      <c r="AS466" s="489"/>
      <c r="AT466" s="489"/>
      <c r="AU466" s="489"/>
      <c r="AV466" s="489"/>
      <c r="AW466" s="489"/>
      <c r="AX466" s="489"/>
      <c r="AY466" s="489"/>
      <c r="AZ466" s="489"/>
      <c r="BA466" s="489"/>
      <c r="BB466" s="489"/>
      <c r="BC466" s="489"/>
      <c r="BD466" s="489"/>
      <c r="BE466" s="489"/>
      <c r="BF466" s="489"/>
      <c r="BG466" s="489"/>
      <c r="BH466" s="489"/>
      <c r="BI466" s="489"/>
      <c r="BJ466" s="489"/>
      <c r="BK466" s="489"/>
      <c r="BL466" s="489"/>
      <c r="BM466" s="489"/>
      <c r="BN466" s="489"/>
      <c r="BO466" s="489"/>
      <c r="BP466" s="489"/>
      <c r="BQ466" s="489"/>
      <c r="BR466" s="489"/>
      <c r="BS466" s="489"/>
      <c r="BT466" s="489"/>
      <c r="BU466" s="489"/>
      <c r="BV466" s="489"/>
      <c r="BW466" s="489"/>
      <c r="BX466" s="489"/>
      <c r="BY466" s="489"/>
      <c r="BZ466" s="489"/>
      <c r="CA466" s="489"/>
      <c r="CB466" s="489"/>
      <c r="CC466" s="489"/>
      <c r="CD466" s="489"/>
      <c r="CE466" s="489"/>
      <c r="CF466" s="489"/>
      <c r="CG466" s="489"/>
      <c r="CH466" s="489"/>
      <c r="CI466" s="489"/>
      <c r="CJ466" s="489"/>
      <c r="CK466" s="489"/>
      <c r="CL466" s="489"/>
      <c r="CM466" s="489"/>
      <c r="CN466" s="489"/>
      <c r="CO466" s="489"/>
      <c r="CP466" s="489"/>
      <c r="CQ466" s="489"/>
      <c r="CR466" s="489"/>
      <c r="CS466" s="489"/>
      <c r="CT466" s="489"/>
      <c r="CU466" s="489"/>
      <c r="CV466" s="489"/>
      <c r="CW466" s="489"/>
      <c r="CX466" s="489"/>
      <c r="CY466" s="489"/>
      <c r="CZ466" s="489"/>
      <c r="DA466" s="489"/>
      <c r="DB466" s="489"/>
      <c r="DC466" s="489"/>
      <c r="DD466" s="489"/>
      <c r="DE466" s="489"/>
      <c r="DF466" s="489"/>
      <c r="DG466" s="489"/>
      <c r="DH466" s="489"/>
      <c r="DI466" s="489"/>
      <c r="DJ466" s="489"/>
      <c r="DK466" s="489"/>
      <c r="DL466" s="489"/>
      <c r="DM466" s="489"/>
      <c r="DN466" s="489"/>
      <c r="DO466" s="489"/>
      <c r="DP466" s="489"/>
      <c r="DQ466" s="489"/>
      <c r="DR466" s="489"/>
      <c r="DS466" s="489"/>
      <c r="DT466" s="489"/>
      <c r="DU466" s="489"/>
      <c r="DV466" s="489"/>
      <c r="DW466" s="489"/>
      <c r="DX466" s="489"/>
      <c r="DY466" s="489"/>
      <c r="DZ466" s="489"/>
      <c r="EA466" s="489"/>
      <c r="EB466" s="489"/>
      <c r="EC466" s="489"/>
      <c r="ED466" s="489"/>
      <c r="EE466" s="489"/>
      <c r="EF466" s="489"/>
      <c r="EG466" s="489"/>
      <c r="EH466" s="489"/>
      <c r="EI466" s="489"/>
      <c r="EJ466" s="489"/>
      <c r="EK466" s="489"/>
      <c r="EL466" s="489"/>
      <c r="EM466" s="489"/>
      <c r="EN466" s="489"/>
      <c r="EO466" s="489"/>
      <c r="EP466" s="489"/>
      <c r="EQ466" s="489"/>
      <c r="ER466" s="489"/>
      <c r="ES466" s="489"/>
      <c r="ET466" s="489"/>
      <c r="EU466" s="489"/>
      <c r="EV466" s="489"/>
      <c r="EW466" s="489"/>
    </row>
    <row r="467" spans="1:153" s="490" customFormat="1" ht="15" x14ac:dyDescent="0.25">
      <c r="A467" s="485" t="s">
        <v>4353</v>
      </c>
      <c r="B467" s="481"/>
      <c r="C467" s="482"/>
      <c r="D467" s="483"/>
      <c r="E467" s="483"/>
      <c r="F467" s="484"/>
      <c r="G467" s="484"/>
      <c r="H467" s="484"/>
      <c r="I467" s="485"/>
      <c r="J467" s="481"/>
      <c r="K467" s="481"/>
      <c r="L467" s="486"/>
      <c r="M467" s="479"/>
      <c r="N467" s="481"/>
      <c r="O467" s="487"/>
      <c r="P467" s="487"/>
      <c r="Q467" s="487"/>
      <c r="R467" s="488"/>
      <c r="S467" s="489"/>
      <c r="T467" s="489"/>
      <c r="U467" s="489"/>
      <c r="V467" s="489"/>
      <c r="W467" s="489"/>
      <c r="X467" s="489"/>
      <c r="Y467" s="489"/>
      <c r="Z467" s="489"/>
      <c r="AA467" s="489"/>
      <c r="AB467" s="489"/>
      <c r="AC467" s="489"/>
      <c r="AD467" s="489"/>
      <c r="AE467" s="489"/>
      <c r="AF467" s="489"/>
      <c r="AG467" s="489"/>
      <c r="AH467" s="489"/>
      <c r="AI467" s="489"/>
      <c r="AJ467" s="489"/>
      <c r="AK467" s="489"/>
      <c r="AL467" s="489"/>
      <c r="AM467" s="489"/>
      <c r="AN467" s="489"/>
      <c r="AO467" s="489"/>
      <c r="AP467" s="489"/>
      <c r="AQ467" s="489"/>
      <c r="AR467" s="489"/>
      <c r="AS467" s="489"/>
      <c r="AT467" s="489"/>
      <c r="AU467" s="489"/>
      <c r="AV467" s="489"/>
      <c r="AW467" s="489"/>
      <c r="AX467" s="489"/>
      <c r="AY467" s="489"/>
      <c r="AZ467" s="489"/>
      <c r="BA467" s="489"/>
      <c r="BB467" s="489"/>
      <c r="BC467" s="489"/>
      <c r="BD467" s="489"/>
      <c r="BE467" s="489"/>
      <c r="BF467" s="489"/>
      <c r="BG467" s="489"/>
      <c r="BH467" s="489"/>
      <c r="BI467" s="489"/>
      <c r="BJ467" s="489"/>
      <c r="BK467" s="489"/>
      <c r="BL467" s="489"/>
      <c r="BM467" s="489"/>
      <c r="BN467" s="489"/>
      <c r="BO467" s="489"/>
      <c r="BP467" s="489"/>
      <c r="BQ467" s="489"/>
      <c r="BR467" s="489"/>
      <c r="BS467" s="489"/>
      <c r="BT467" s="489"/>
      <c r="BU467" s="489"/>
      <c r="BV467" s="489"/>
      <c r="BW467" s="489"/>
      <c r="BX467" s="489"/>
      <c r="BY467" s="489"/>
      <c r="BZ467" s="489"/>
      <c r="CA467" s="489"/>
      <c r="CB467" s="489"/>
      <c r="CC467" s="489"/>
      <c r="CD467" s="489"/>
      <c r="CE467" s="489"/>
      <c r="CF467" s="489"/>
      <c r="CG467" s="489"/>
      <c r="CH467" s="489"/>
      <c r="CI467" s="489"/>
      <c r="CJ467" s="489"/>
      <c r="CK467" s="489"/>
      <c r="CL467" s="489"/>
      <c r="CM467" s="489"/>
      <c r="CN467" s="489"/>
      <c r="CO467" s="489"/>
      <c r="CP467" s="489"/>
      <c r="CQ467" s="489"/>
      <c r="CR467" s="489"/>
      <c r="CS467" s="489"/>
      <c r="CT467" s="489"/>
      <c r="CU467" s="489"/>
      <c r="CV467" s="489"/>
      <c r="CW467" s="489"/>
      <c r="CX467" s="489"/>
      <c r="CY467" s="489"/>
      <c r="CZ467" s="489"/>
      <c r="DA467" s="489"/>
      <c r="DB467" s="489"/>
      <c r="DC467" s="489"/>
      <c r="DD467" s="489"/>
      <c r="DE467" s="489"/>
      <c r="DF467" s="489"/>
      <c r="DG467" s="489"/>
      <c r="DH467" s="489"/>
      <c r="DI467" s="489"/>
      <c r="DJ467" s="489"/>
      <c r="DK467" s="489"/>
      <c r="DL467" s="489"/>
      <c r="DM467" s="489"/>
      <c r="DN467" s="489"/>
      <c r="DO467" s="489"/>
      <c r="DP467" s="489"/>
      <c r="DQ467" s="489"/>
      <c r="DR467" s="489"/>
      <c r="DS467" s="489"/>
      <c r="DT467" s="489"/>
      <c r="DU467" s="489"/>
      <c r="DV467" s="489"/>
      <c r="DW467" s="489"/>
      <c r="DX467" s="489"/>
      <c r="DY467" s="489"/>
      <c r="DZ467" s="489"/>
      <c r="EA467" s="489"/>
      <c r="EB467" s="489"/>
      <c r="EC467" s="489"/>
      <c r="ED467" s="489"/>
      <c r="EE467" s="489"/>
      <c r="EF467" s="489"/>
      <c r="EG467" s="489"/>
      <c r="EH467" s="489"/>
      <c r="EI467" s="489"/>
      <c r="EJ467" s="489"/>
      <c r="EK467" s="489"/>
      <c r="EL467" s="489"/>
      <c r="EM467" s="489"/>
      <c r="EN467" s="489"/>
      <c r="EO467" s="489"/>
      <c r="EP467" s="489"/>
      <c r="EQ467" s="489"/>
      <c r="ER467" s="489"/>
      <c r="ES467" s="489"/>
      <c r="ET467" s="489"/>
      <c r="EU467" s="489"/>
      <c r="EV467" s="489"/>
      <c r="EW467" s="489"/>
    </row>
    <row r="468" spans="1:153" s="490" customFormat="1" ht="15" x14ac:dyDescent="0.25">
      <c r="A468" s="494" t="s">
        <v>4351</v>
      </c>
      <c r="B468" s="481"/>
      <c r="C468" s="482"/>
      <c r="D468" s="483"/>
      <c r="E468" s="483"/>
      <c r="F468" s="484"/>
      <c r="G468" s="484"/>
      <c r="H468" s="484"/>
      <c r="I468" s="485"/>
      <c r="J468" s="481"/>
      <c r="K468" s="481"/>
      <c r="L468" s="486"/>
      <c r="M468" s="479"/>
      <c r="N468" s="481"/>
      <c r="O468" s="487"/>
      <c r="P468" s="487"/>
      <c r="Q468" s="487"/>
      <c r="R468" s="488"/>
      <c r="S468" s="489"/>
      <c r="T468" s="489"/>
      <c r="U468" s="489"/>
      <c r="V468" s="489"/>
      <c r="W468" s="489"/>
      <c r="X468" s="489"/>
      <c r="Y468" s="489"/>
      <c r="Z468" s="489"/>
      <c r="AA468" s="489"/>
      <c r="AB468" s="489"/>
      <c r="AC468" s="489"/>
      <c r="AD468" s="489"/>
      <c r="AE468" s="489"/>
      <c r="AF468" s="489"/>
      <c r="AG468" s="489"/>
      <c r="AH468" s="489"/>
      <c r="AI468" s="489"/>
      <c r="AJ468" s="489"/>
      <c r="AK468" s="489"/>
      <c r="AL468" s="489"/>
      <c r="AM468" s="489"/>
      <c r="AN468" s="489"/>
      <c r="AO468" s="489"/>
      <c r="AP468" s="489"/>
      <c r="AQ468" s="489"/>
      <c r="AR468" s="489"/>
      <c r="AS468" s="489"/>
      <c r="AT468" s="489"/>
      <c r="AU468" s="489"/>
      <c r="AV468" s="489"/>
      <c r="AW468" s="489"/>
      <c r="AX468" s="489"/>
      <c r="AY468" s="489"/>
      <c r="AZ468" s="489"/>
      <c r="BA468" s="489"/>
      <c r="BB468" s="489"/>
      <c r="BC468" s="489"/>
      <c r="BD468" s="489"/>
      <c r="BE468" s="489"/>
      <c r="BF468" s="489"/>
      <c r="BG468" s="489"/>
      <c r="BH468" s="489"/>
      <c r="BI468" s="489"/>
      <c r="BJ468" s="489"/>
      <c r="BK468" s="489"/>
      <c r="BL468" s="489"/>
      <c r="BM468" s="489"/>
      <c r="BN468" s="489"/>
      <c r="BO468" s="489"/>
      <c r="BP468" s="489"/>
      <c r="BQ468" s="489"/>
      <c r="BR468" s="489"/>
      <c r="BS468" s="489"/>
      <c r="BT468" s="489"/>
      <c r="BU468" s="489"/>
      <c r="BV468" s="489"/>
      <c r="BW468" s="489"/>
      <c r="BX468" s="489"/>
      <c r="BY468" s="489"/>
      <c r="BZ468" s="489"/>
      <c r="CA468" s="489"/>
      <c r="CB468" s="489"/>
      <c r="CC468" s="489"/>
      <c r="CD468" s="489"/>
      <c r="CE468" s="489"/>
      <c r="CF468" s="489"/>
      <c r="CG468" s="489"/>
      <c r="CH468" s="489"/>
      <c r="CI468" s="489"/>
      <c r="CJ468" s="489"/>
      <c r="CK468" s="489"/>
      <c r="CL468" s="489"/>
      <c r="CM468" s="489"/>
      <c r="CN468" s="489"/>
      <c r="CO468" s="489"/>
      <c r="CP468" s="489"/>
      <c r="CQ468" s="489"/>
      <c r="CR468" s="489"/>
      <c r="CS468" s="489"/>
      <c r="CT468" s="489"/>
      <c r="CU468" s="489"/>
      <c r="CV468" s="489"/>
      <c r="CW468" s="489"/>
      <c r="CX468" s="489"/>
      <c r="CY468" s="489"/>
      <c r="CZ468" s="489"/>
      <c r="DA468" s="489"/>
      <c r="DB468" s="489"/>
      <c r="DC468" s="489"/>
      <c r="DD468" s="489"/>
      <c r="DE468" s="489"/>
      <c r="DF468" s="489"/>
      <c r="DG468" s="489"/>
      <c r="DH468" s="489"/>
      <c r="DI468" s="489"/>
      <c r="DJ468" s="489"/>
      <c r="DK468" s="489"/>
      <c r="DL468" s="489"/>
      <c r="DM468" s="489"/>
      <c r="DN468" s="489"/>
      <c r="DO468" s="489"/>
      <c r="DP468" s="489"/>
      <c r="DQ468" s="489"/>
      <c r="DR468" s="489"/>
      <c r="DS468" s="489"/>
      <c r="DT468" s="489"/>
      <c r="DU468" s="489"/>
      <c r="DV468" s="489"/>
      <c r="DW468" s="489"/>
      <c r="DX468" s="489"/>
      <c r="DY468" s="489"/>
      <c r="DZ468" s="489"/>
      <c r="EA468" s="489"/>
      <c r="EB468" s="489"/>
      <c r="EC468" s="489"/>
      <c r="ED468" s="489"/>
      <c r="EE468" s="489"/>
      <c r="EF468" s="489"/>
      <c r="EG468" s="489"/>
      <c r="EH468" s="489"/>
      <c r="EI468" s="489"/>
      <c r="EJ468" s="489"/>
      <c r="EK468" s="489"/>
      <c r="EL468" s="489"/>
      <c r="EM468" s="489"/>
      <c r="EN468" s="489"/>
      <c r="EO468" s="489"/>
      <c r="EP468" s="489"/>
      <c r="EQ468" s="489"/>
      <c r="ER468" s="489"/>
      <c r="ES468" s="489"/>
      <c r="ET468" s="489"/>
      <c r="EU468" s="489"/>
      <c r="EV468" s="489"/>
      <c r="EW468" s="489"/>
    </row>
    <row r="469" spans="1:153" s="490" customFormat="1" ht="15" x14ac:dyDescent="0.25">
      <c r="A469" s="494" t="s">
        <v>4352</v>
      </c>
      <c r="B469" s="481"/>
      <c r="C469" s="482"/>
      <c r="D469" s="483"/>
      <c r="E469" s="483"/>
      <c r="F469" s="484"/>
      <c r="G469" s="484"/>
      <c r="H469" s="484"/>
      <c r="I469" s="485"/>
      <c r="J469" s="481"/>
      <c r="K469" s="481"/>
      <c r="L469" s="486"/>
      <c r="M469" s="479"/>
      <c r="N469" s="481"/>
      <c r="O469" s="487"/>
      <c r="P469" s="487"/>
      <c r="Q469" s="487"/>
      <c r="R469" s="488"/>
      <c r="S469" s="489"/>
      <c r="T469" s="489"/>
      <c r="U469" s="489"/>
      <c r="V469" s="489"/>
      <c r="W469" s="489"/>
      <c r="X469" s="489"/>
      <c r="Y469" s="489"/>
      <c r="Z469" s="489"/>
      <c r="AA469" s="489"/>
      <c r="AB469" s="489"/>
      <c r="AC469" s="489"/>
      <c r="AD469" s="489"/>
      <c r="AE469" s="489"/>
      <c r="AF469" s="489"/>
      <c r="AG469" s="489"/>
      <c r="AH469" s="489"/>
      <c r="AI469" s="489"/>
      <c r="AJ469" s="489"/>
      <c r="AK469" s="489"/>
      <c r="AL469" s="489"/>
      <c r="AM469" s="489"/>
      <c r="AN469" s="489"/>
      <c r="AO469" s="489"/>
      <c r="AP469" s="489"/>
      <c r="AQ469" s="489"/>
      <c r="AR469" s="489"/>
      <c r="AS469" s="489"/>
      <c r="AT469" s="489"/>
      <c r="AU469" s="489"/>
      <c r="AV469" s="489"/>
      <c r="AW469" s="489"/>
      <c r="AX469" s="489"/>
      <c r="AY469" s="489"/>
      <c r="AZ469" s="489"/>
      <c r="BA469" s="489"/>
      <c r="BB469" s="489"/>
      <c r="BC469" s="489"/>
      <c r="BD469" s="489"/>
      <c r="BE469" s="489"/>
      <c r="BF469" s="489"/>
      <c r="BG469" s="489"/>
      <c r="BH469" s="489"/>
      <c r="BI469" s="489"/>
      <c r="BJ469" s="489"/>
      <c r="BK469" s="489"/>
      <c r="BL469" s="489"/>
      <c r="BM469" s="489"/>
      <c r="BN469" s="489"/>
      <c r="BO469" s="489"/>
      <c r="BP469" s="489"/>
      <c r="BQ469" s="489"/>
      <c r="BR469" s="489"/>
      <c r="BS469" s="489"/>
      <c r="BT469" s="489"/>
      <c r="BU469" s="489"/>
      <c r="BV469" s="489"/>
      <c r="BW469" s="489"/>
      <c r="BX469" s="489"/>
      <c r="BY469" s="489"/>
      <c r="BZ469" s="489"/>
      <c r="CA469" s="489"/>
      <c r="CB469" s="489"/>
      <c r="CC469" s="489"/>
      <c r="CD469" s="489"/>
      <c r="CE469" s="489"/>
      <c r="CF469" s="489"/>
      <c r="CG469" s="489"/>
      <c r="CH469" s="489"/>
      <c r="CI469" s="489"/>
      <c r="CJ469" s="489"/>
      <c r="CK469" s="489"/>
      <c r="CL469" s="489"/>
      <c r="CM469" s="489"/>
      <c r="CN469" s="489"/>
      <c r="CO469" s="489"/>
      <c r="CP469" s="489"/>
      <c r="CQ469" s="489"/>
      <c r="CR469" s="489"/>
      <c r="CS469" s="489"/>
      <c r="CT469" s="489"/>
      <c r="CU469" s="489"/>
      <c r="CV469" s="489"/>
      <c r="CW469" s="489"/>
      <c r="CX469" s="489"/>
      <c r="CY469" s="489"/>
      <c r="CZ469" s="489"/>
      <c r="DA469" s="489"/>
      <c r="DB469" s="489"/>
      <c r="DC469" s="489"/>
      <c r="DD469" s="489"/>
      <c r="DE469" s="489"/>
      <c r="DF469" s="489"/>
      <c r="DG469" s="489"/>
      <c r="DH469" s="489"/>
      <c r="DI469" s="489"/>
      <c r="DJ469" s="489"/>
      <c r="DK469" s="489"/>
      <c r="DL469" s="489"/>
      <c r="DM469" s="489"/>
      <c r="DN469" s="489"/>
      <c r="DO469" s="489"/>
      <c r="DP469" s="489"/>
      <c r="DQ469" s="489"/>
      <c r="DR469" s="489"/>
      <c r="DS469" s="489"/>
      <c r="DT469" s="489"/>
      <c r="DU469" s="489"/>
      <c r="DV469" s="489"/>
      <c r="DW469" s="489"/>
      <c r="DX469" s="489"/>
      <c r="DY469" s="489"/>
      <c r="DZ469" s="489"/>
      <c r="EA469" s="489"/>
      <c r="EB469" s="489"/>
      <c r="EC469" s="489"/>
      <c r="ED469" s="489"/>
      <c r="EE469" s="489"/>
      <c r="EF469" s="489"/>
      <c r="EG469" s="489"/>
      <c r="EH469" s="489"/>
      <c r="EI469" s="489"/>
      <c r="EJ469" s="489"/>
      <c r="EK469" s="489"/>
      <c r="EL469" s="489"/>
      <c r="EM469" s="489"/>
      <c r="EN469" s="489"/>
      <c r="EO469" s="489"/>
      <c r="EP469" s="489"/>
      <c r="EQ469" s="489"/>
      <c r="ER469" s="489"/>
      <c r="ES469" s="489"/>
      <c r="ET469" s="489"/>
      <c r="EU469" s="489"/>
      <c r="EV469" s="489"/>
      <c r="EW469" s="489"/>
    </row>
    <row r="470" spans="1:153" s="490" customFormat="1" ht="15" x14ac:dyDescent="0.25">
      <c r="A470" s="454" t="s">
        <v>4718</v>
      </c>
      <c r="B470" s="481"/>
      <c r="C470" s="482"/>
      <c r="D470" s="483"/>
      <c r="E470" s="483"/>
      <c r="F470" s="484"/>
      <c r="G470" s="484"/>
      <c r="H470" s="484"/>
      <c r="I470" s="485"/>
      <c r="J470" s="481"/>
      <c r="K470" s="481"/>
      <c r="L470" s="486"/>
      <c r="M470" s="479"/>
      <c r="N470" s="481"/>
      <c r="O470" s="491"/>
      <c r="P470" s="491"/>
      <c r="Q470" s="491"/>
      <c r="R470" s="492"/>
      <c r="S470" s="493"/>
      <c r="T470" s="493"/>
      <c r="U470" s="489"/>
      <c r="V470" s="489"/>
      <c r="W470" s="489"/>
      <c r="X470" s="489"/>
      <c r="Y470" s="489"/>
      <c r="Z470" s="489"/>
      <c r="AA470" s="489"/>
      <c r="AB470" s="489"/>
      <c r="AC470" s="489"/>
      <c r="AD470" s="489"/>
      <c r="AE470" s="489"/>
      <c r="AF470" s="489"/>
      <c r="AG470" s="489"/>
      <c r="AH470" s="489"/>
      <c r="AI470" s="489"/>
      <c r="AJ470" s="489"/>
      <c r="AK470" s="489"/>
      <c r="AL470" s="489"/>
      <c r="AM470" s="489"/>
      <c r="AN470" s="489"/>
      <c r="AO470" s="489"/>
      <c r="AP470" s="489"/>
      <c r="AQ470" s="489"/>
      <c r="AR470" s="489"/>
      <c r="AS470" s="489"/>
      <c r="AT470" s="489"/>
      <c r="AU470" s="489"/>
      <c r="AV470" s="489"/>
      <c r="AW470" s="489"/>
      <c r="AX470" s="489"/>
      <c r="AY470" s="489"/>
      <c r="AZ470" s="489"/>
      <c r="BA470" s="489"/>
      <c r="BB470" s="489"/>
      <c r="BC470" s="489"/>
      <c r="BD470" s="489"/>
      <c r="BE470" s="489"/>
      <c r="BF470" s="489"/>
      <c r="BG470" s="489"/>
      <c r="BH470" s="489"/>
      <c r="BI470" s="489"/>
      <c r="BJ470" s="489"/>
      <c r="BK470" s="489"/>
      <c r="BL470" s="489"/>
      <c r="BM470" s="489"/>
      <c r="BN470" s="489"/>
      <c r="BO470" s="489"/>
      <c r="BP470" s="489"/>
      <c r="BQ470" s="489"/>
      <c r="BR470" s="489"/>
      <c r="BS470" s="489"/>
      <c r="BT470" s="489"/>
      <c r="BU470" s="489"/>
      <c r="BV470" s="489"/>
      <c r="BW470" s="489"/>
      <c r="BX470" s="489"/>
      <c r="BY470" s="489"/>
      <c r="BZ470" s="489"/>
      <c r="CA470" s="489"/>
      <c r="CB470" s="489"/>
      <c r="CC470" s="489"/>
      <c r="CD470" s="489"/>
      <c r="CE470" s="489"/>
      <c r="CF470" s="489"/>
      <c r="CG470" s="489"/>
      <c r="CH470" s="489"/>
      <c r="CI470" s="489"/>
      <c r="CJ470" s="489"/>
      <c r="CK470" s="489"/>
      <c r="CL470" s="489"/>
      <c r="CM470" s="489"/>
      <c r="CN470" s="489"/>
      <c r="CO470" s="489"/>
      <c r="CP470" s="489"/>
      <c r="CQ470" s="489"/>
      <c r="CR470" s="489"/>
      <c r="CS470" s="489"/>
      <c r="CT470" s="489"/>
      <c r="CU470" s="489"/>
      <c r="CV470" s="489"/>
      <c r="CW470" s="489"/>
      <c r="CX470" s="489"/>
      <c r="CY470" s="489"/>
      <c r="CZ470" s="489"/>
      <c r="DA470" s="489"/>
      <c r="DB470" s="489"/>
      <c r="DC470" s="489"/>
      <c r="DD470" s="489"/>
      <c r="DE470" s="489"/>
      <c r="DF470" s="489"/>
      <c r="DG470" s="489"/>
      <c r="DH470" s="489"/>
      <c r="DI470" s="489"/>
      <c r="DJ470" s="489"/>
      <c r="DK470" s="489"/>
      <c r="DL470" s="489"/>
      <c r="DM470" s="489"/>
      <c r="DN470" s="489"/>
      <c r="DO470" s="489"/>
      <c r="DP470" s="489"/>
      <c r="DQ470" s="489"/>
      <c r="DR470" s="489"/>
      <c r="DS470" s="489"/>
      <c r="DT470" s="489"/>
      <c r="DU470" s="489"/>
      <c r="DV470" s="489"/>
      <c r="DW470" s="489"/>
      <c r="DX470" s="489"/>
      <c r="DY470" s="489"/>
      <c r="DZ470" s="489"/>
      <c r="EA470" s="489"/>
      <c r="EB470" s="489"/>
      <c r="EC470" s="489"/>
      <c r="ED470" s="489"/>
      <c r="EE470" s="489"/>
      <c r="EF470" s="489"/>
      <c r="EG470" s="489"/>
      <c r="EH470" s="489"/>
      <c r="EI470" s="489"/>
      <c r="EJ470" s="489"/>
      <c r="EK470" s="489"/>
      <c r="EL470" s="489"/>
      <c r="EM470" s="489"/>
      <c r="EN470" s="489"/>
      <c r="EO470" s="489"/>
      <c r="EP470" s="489"/>
      <c r="EQ470" s="489"/>
      <c r="ER470" s="489"/>
      <c r="ES470" s="489"/>
      <c r="ET470" s="489"/>
      <c r="EU470" s="489"/>
      <c r="EV470" s="489"/>
      <c r="EW470" s="489"/>
    </row>
    <row r="471" spans="1:153" s="490" customFormat="1" ht="15" x14ac:dyDescent="0.25">
      <c r="A471" s="454" t="s">
        <v>4325</v>
      </c>
      <c r="B471" s="481"/>
      <c r="C471" s="482"/>
      <c r="D471" s="483"/>
      <c r="E471" s="483"/>
      <c r="F471" s="484"/>
      <c r="G471" s="484"/>
      <c r="H471" s="484"/>
      <c r="I471" s="485"/>
      <c r="J471" s="481"/>
      <c r="K471" s="481"/>
      <c r="L471" s="486"/>
      <c r="M471" s="479"/>
      <c r="N471" s="481"/>
      <c r="O471" s="491"/>
      <c r="P471" s="491"/>
      <c r="Q471" s="491"/>
      <c r="R471" s="492"/>
      <c r="S471" s="493"/>
      <c r="T471" s="493"/>
      <c r="U471" s="489"/>
      <c r="V471" s="489"/>
      <c r="W471" s="489"/>
      <c r="X471" s="489"/>
      <c r="Y471" s="489"/>
      <c r="Z471" s="489"/>
      <c r="AA471" s="489"/>
      <c r="AB471" s="489"/>
      <c r="AC471" s="489"/>
      <c r="AD471" s="489"/>
      <c r="AE471" s="489"/>
      <c r="AF471" s="489"/>
      <c r="AG471" s="489"/>
      <c r="AH471" s="489"/>
      <c r="AI471" s="489"/>
      <c r="AJ471" s="489"/>
      <c r="AK471" s="489"/>
      <c r="AL471" s="489"/>
      <c r="AM471" s="489"/>
      <c r="AN471" s="489"/>
      <c r="AO471" s="489"/>
      <c r="AP471" s="489"/>
      <c r="AQ471" s="489"/>
      <c r="AR471" s="489"/>
      <c r="AS471" s="489"/>
      <c r="AT471" s="489"/>
      <c r="AU471" s="489"/>
      <c r="AV471" s="489"/>
      <c r="AW471" s="489"/>
      <c r="AX471" s="489"/>
      <c r="AY471" s="489"/>
      <c r="AZ471" s="489"/>
      <c r="BA471" s="489"/>
      <c r="BB471" s="489"/>
      <c r="BC471" s="489"/>
      <c r="BD471" s="489"/>
      <c r="BE471" s="489"/>
      <c r="BF471" s="489"/>
      <c r="BG471" s="489"/>
      <c r="BH471" s="489"/>
      <c r="BI471" s="489"/>
      <c r="BJ471" s="489"/>
      <c r="BK471" s="489"/>
      <c r="BL471" s="489"/>
      <c r="BM471" s="489"/>
      <c r="BN471" s="489"/>
      <c r="BO471" s="489"/>
      <c r="BP471" s="489"/>
      <c r="BQ471" s="489"/>
      <c r="BR471" s="489"/>
      <c r="BS471" s="489"/>
      <c r="BT471" s="489"/>
      <c r="BU471" s="489"/>
      <c r="BV471" s="489"/>
      <c r="BW471" s="489"/>
      <c r="BX471" s="489"/>
      <c r="BY471" s="489"/>
      <c r="BZ471" s="489"/>
      <c r="CA471" s="489"/>
      <c r="CB471" s="489"/>
      <c r="CC471" s="489"/>
      <c r="CD471" s="489"/>
      <c r="CE471" s="489"/>
      <c r="CF471" s="489"/>
      <c r="CG471" s="489"/>
      <c r="CH471" s="489"/>
      <c r="CI471" s="489"/>
      <c r="CJ471" s="489"/>
      <c r="CK471" s="489"/>
      <c r="CL471" s="489"/>
      <c r="CM471" s="489"/>
      <c r="CN471" s="489"/>
      <c r="CO471" s="489"/>
      <c r="CP471" s="489"/>
      <c r="CQ471" s="489"/>
      <c r="CR471" s="489"/>
      <c r="CS471" s="489"/>
      <c r="CT471" s="489"/>
      <c r="CU471" s="489"/>
      <c r="CV471" s="489"/>
      <c r="CW471" s="489"/>
      <c r="CX471" s="489"/>
      <c r="CY471" s="489"/>
      <c r="CZ471" s="489"/>
      <c r="DA471" s="489"/>
      <c r="DB471" s="489"/>
      <c r="DC471" s="489"/>
      <c r="DD471" s="489"/>
      <c r="DE471" s="489"/>
      <c r="DF471" s="489"/>
      <c r="DG471" s="489"/>
      <c r="DH471" s="489"/>
      <c r="DI471" s="489"/>
      <c r="DJ471" s="489"/>
      <c r="DK471" s="489"/>
      <c r="DL471" s="489"/>
      <c r="DM471" s="489"/>
      <c r="DN471" s="489"/>
      <c r="DO471" s="489"/>
      <c r="DP471" s="489"/>
      <c r="DQ471" s="489"/>
      <c r="DR471" s="489"/>
      <c r="DS471" s="489"/>
      <c r="DT471" s="489"/>
      <c r="DU471" s="489"/>
      <c r="DV471" s="489"/>
      <c r="DW471" s="489"/>
      <c r="DX471" s="489"/>
      <c r="DY471" s="489"/>
      <c r="DZ471" s="489"/>
      <c r="EA471" s="489"/>
      <c r="EB471" s="489"/>
      <c r="EC471" s="489"/>
      <c r="ED471" s="489"/>
      <c r="EE471" s="489"/>
      <c r="EF471" s="489"/>
      <c r="EG471" s="489"/>
      <c r="EH471" s="489"/>
      <c r="EI471" s="489"/>
      <c r="EJ471" s="489"/>
      <c r="EK471" s="489"/>
      <c r="EL471" s="489"/>
      <c r="EM471" s="489"/>
      <c r="EN471" s="489"/>
      <c r="EO471" s="489"/>
      <c r="EP471" s="489"/>
      <c r="EQ471" s="489"/>
      <c r="ER471" s="489"/>
      <c r="ES471" s="489"/>
      <c r="ET471" s="489"/>
      <c r="EU471" s="489"/>
      <c r="EV471" s="489"/>
      <c r="EW471" s="489"/>
    </row>
    <row r="472" spans="1:153" s="490" customFormat="1" ht="15" x14ac:dyDescent="0.25">
      <c r="A472" s="454" t="s">
        <v>4719</v>
      </c>
      <c r="B472" s="481"/>
      <c r="C472" s="482"/>
      <c r="D472" s="483"/>
      <c r="E472" s="483"/>
      <c r="F472" s="484"/>
      <c r="G472" s="484"/>
      <c r="H472" s="484"/>
      <c r="I472" s="485"/>
      <c r="J472" s="481"/>
      <c r="K472" s="481"/>
      <c r="L472" s="486"/>
      <c r="M472" s="479"/>
      <c r="N472" s="481"/>
      <c r="O472" s="487"/>
      <c r="P472" s="487"/>
      <c r="Q472" s="487"/>
      <c r="R472" s="488"/>
      <c r="S472" s="489"/>
      <c r="T472" s="489"/>
      <c r="U472" s="489"/>
      <c r="V472" s="489"/>
      <c r="W472" s="489"/>
      <c r="X472" s="489"/>
      <c r="Y472" s="489"/>
      <c r="Z472" s="489"/>
      <c r="AA472" s="489"/>
      <c r="AB472" s="489"/>
      <c r="AC472" s="489"/>
      <c r="AD472" s="489"/>
      <c r="AE472" s="489"/>
      <c r="AF472" s="489"/>
      <c r="AG472" s="489"/>
      <c r="AH472" s="489"/>
      <c r="AI472" s="489"/>
      <c r="AJ472" s="489"/>
      <c r="AK472" s="489"/>
      <c r="AL472" s="489"/>
      <c r="AM472" s="489"/>
      <c r="AN472" s="489"/>
      <c r="AO472" s="489"/>
      <c r="AP472" s="489"/>
      <c r="AQ472" s="489"/>
      <c r="AR472" s="489"/>
      <c r="AS472" s="489"/>
      <c r="AT472" s="489"/>
      <c r="AU472" s="489"/>
      <c r="AV472" s="489"/>
      <c r="AW472" s="489"/>
      <c r="AX472" s="489"/>
      <c r="AY472" s="489"/>
      <c r="AZ472" s="489"/>
      <c r="BA472" s="489"/>
      <c r="BB472" s="489"/>
      <c r="BC472" s="489"/>
      <c r="BD472" s="489"/>
      <c r="BE472" s="489"/>
      <c r="BF472" s="489"/>
      <c r="BG472" s="489"/>
      <c r="BH472" s="489"/>
      <c r="BI472" s="489"/>
      <c r="BJ472" s="489"/>
      <c r="BK472" s="489"/>
      <c r="BL472" s="489"/>
      <c r="BM472" s="489"/>
      <c r="BN472" s="489"/>
      <c r="BO472" s="489"/>
      <c r="BP472" s="489"/>
      <c r="BQ472" s="489"/>
      <c r="BR472" s="489"/>
      <c r="BS472" s="489"/>
      <c r="BT472" s="489"/>
      <c r="BU472" s="489"/>
      <c r="BV472" s="489"/>
      <c r="BW472" s="489"/>
      <c r="BX472" s="489"/>
      <c r="BY472" s="489"/>
      <c r="BZ472" s="489"/>
      <c r="CA472" s="489"/>
      <c r="CB472" s="489"/>
      <c r="CC472" s="489"/>
      <c r="CD472" s="489"/>
      <c r="CE472" s="489"/>
      <c r="CF472" s="489"/>
      <c r="CG472" s="489"/>
      <c r="CH472" s="489"/>
      <c r="CI472" s="489"/>
      <c r="CJ472" s="489"/>
      <c r="CK472" s="489"/>
      <c r="CL472" s="489"/>
      <c r="CM472" s="489"/>
      <c r="CN472" s="489"/>
      <c r="CO472" s="489"/>
      <c r="CP472" s="489"/>
      <c r="CQ472" s="489"/>
      <c r="CR472" s="489"/>
      <c r="CS472" s="489"/>
      <c r="CT472" s="489"/>
      <c r="CU472" s="489"/>
      <c r="CV472" s="489"/>
      <c r="CW472" s="489"/>
      <c r="CX472" s="489"/>
      <c r="CY472" s="489"/>
      <c r="CZ472" s="489"/>
      <c r="DA472" s="489"/>
      <c r="DB472" s="489"/>
      <c r="DC472" s="489"/>
      <c r="DD472" s="489"/>
      <c r="DE472" s="489"/>
      <c r="DF472" s="489"/>
      <c r="DG472" s="489"/>
      <c r="DH472" s="489"/>
      <c r="DI472" s="489"/>
      <c r="DJ472" s="489"/>
      <c r="DK472" s="489"/>
      <c r="DL472" s="489"/>
      <c r="DM472" s="489"/>
      <c r="DN472" s="489"/>
      <c r="DO472" s="489"/>
      <c r="DP472" s="489"/>
      <c r="DQ472" s="489"/>
      <c r="DR472" s="489"/>
      <c r="DS472" s="489"/>
      <c r="DT472" s="489"/>
      <c r="DU472" s="489"/>
      <c r="DV472" s="489"/>
      <c r="DW472" s="489"/>
      <c r="DX472" s="489"/>
      <c r="DY472" s="489"/>
      <c r="DZ472" s="489"/>
      <c r="EA472" s="489"/>
      <c r="EB472" s="489"/>
      <c r="EC472" s="489"/>
      <c r="ED472" s="489"/>
      <c r="EE472" s="489"/>
      <c r="EF472" s="489"/>
      <c r="EG472" s="489"/>
      <c r="EH472" s="489"/>
      <c r="EI472" s="489"/>
      <c r="EJ472" s="489"/>
      <c r="EK472" s="489"/>
      <c r="EL472" s="489"/>
      <c r="EM472" s="489"/>
      <c r="EN472" s="489"/>
      <c r="EO472" s="489"/>
      <c r="EP472" s="489"/>
      <c r="EQ472" s="489"/>
      <c r="ER472" s="489"/>
      <c r="ES472" s="489"/>
      <c r="ET472" s="489"/>
      <c r="EU472" s="489"/>
      <c r="EV472" s="489"/>
      <c r="EW472" s="489"/>
    </row>
    <row r="473" spans="1:153" s="490" customFormat="1" ht="15" x14ac:dyDescent="0.25">
      <c r="A473" s="454" t="s">
        <v>4325</v>
      </c>
      <c r="B473" s="481"/>
      <c r="C473" s="482"/>
      <c r="D473" s="483"/>
      <c r="E473" s="483"/>
      <c r="F473" s="484"/>
      <c r="G473" s="484"/>
      <c r="H473" s="484"/>
      <c r="I473" s="485"/>
      <c r="J473" s="481"/>
      <c r="K473" s="481"/>
      <c r="L473" s="486"/>
      <c r="M473" s="479"/>
      <c r="N473" s="481"/>
      <c r="O473" s="487"/>
      <c r="P473" s="487"/>
      <c r="Q473" s="487"/>
      <c r="R473" s="488"/>
      <c r="S473" s="489"/>
      <c r="T473" s="489"/>
      <c r="U473" s="489"/>
      <c r="V473" s="489"/>
      <c r="W473" s="489"/>
      <c r="X473" s="489"/>
      <c r="Y473" s="489"/>
      <c r="Z473" s="489"/>
      <c r="AA473" s="489"/>
      <c r="AB473" s="489"/>
      <c r="AC473" s="489"/>
      <c r="AD473" s="489"/>
      <c r="AE473" s="489"/>
      <c r="AF473" s="489"/>
      <c r="AG473" s="489"/>
      <c r="AH473" s="489"/>
      <c r="AI473" s="489"/>
      <c r="AJ473" s="489"/>
      <c r="AK473" s="489"/>
      <c r="AL473" s="489"/>
      <c r="AM473" s="489"/>
      <c r="AN473" s="489"/>
      <c r="AO473" s="489"/>
      <c r="AP473" s="489"/>
      <c r="AQ473" s="489"/>
      <c r="AR473" s="489"/>
      <c r="AS473" s="489"/>
      <c r="AT473" s="489"/>
      <c r="AU473" s="489"/>
      <c r="AV473" s="489"/>
      <c r="AW473" s="489"/>
      <c r="AX473" s="489"/>
      <c r="AY473" s="489"/>
      <c r="AZ473" s="489"/>
      <c r="BA473" s="489"/>
      <c r="BB473" s="489"/>
      <c r="BC473" s="489"/>
      <c r="BD473" s="489"/>
      <c r="BE473" s="489"/>
      <c r="BF473" s="489"/>
      <c r="BG473" s="489"/>
      <c r="BH473" s="489"/>
      <c r="BI473" s="489"/>
      <c r="BJ473" s="489"/>
      <c r="BK473" s="489"/>
      <c r="BL473" s="489"/>
      <c r="BM473" s="489"/>
      <c r="BN473" s="489"/>
      <c r="BO473" s="489"/>
      <c r="BP473" s="489"/>
      <c r="BQ473" s="489"/>
      <c r="BR473" s="489"/>
      <c r="BS473" s="489"/>
      <c r="BT473" s="489"/>
      <c r="BU473" s="489"/>
      <c r="BV473" s="489"/>
      <c r="BW473" s="489"/>
      <c r="BX473" s="489"/>
      <c r="BY473" s="489"/>
      <c r="BZ473" s="489"/>
      <c r="CA473" s="489"/>
      <c r="CB473" s="489"/>
      <c r="CC473" s="489"/>
      <c r="CD473" s="489"/>
      <c r="CE473" s="489"/>
      <c r="CF473" s="489"/>
      <c r="CG473" s="489"/>
      <c r="CH473" s="489"/>
      <c r="CI473" s="489"/>
      <c r="CJ473" s="489"/>
      <c r="CK473" s="489"/>
      <c r="CL473" s="489"/>
      <c r="CM473" s="489"/>
      <c r="CN473" s="489"/>
      <c r="CO473" s="489"/>
      <c r="CP473" s="489"/>
      <c r="CQ473" s="489"/>
      <c r="CR473" s="489"/>
      <c r="CS473" s="489"/>
      <c r="CT473" s="489"/>
      <c r="CU473" s="489"/>
      <c r="CV473" s="489"/>
      <c r="CW473" s="489"/>
      <c r="CX473" s="489"/>
      <c r="CY473" s="489"/>
      <c r="CZ473" s="489"/>
      <c r="DA473" s="489"/>
      <c r="DB473" s="489"/>
      <c r="DC473" s="489"/>
      <c r="DD473" s="489"/>
      <c r="DE473" s="489"/>
      <c r="DF473" s="489"/>
      <c r="DG473" s="489"/>
      <c r="DH473" s="489"/>
      <c r="DI473" s="489"/>
      <c r="DJ473" s="489"/>
      <c r="DK473" s="489"/>
      <c r="DL473" s="489"/>
      <c r="DM473" s="489"/>
      <c r="DN473" s="489"/>
      <c r="DO473" s="489"/>
      <c r="DP473" s="489"/>
      <c r="DQ473" s="489"/>
      <c r="DR473" s="489"/>
      <c r="DS473" s="489"/>
      <c r="DT473" s="489"/>
      <c r="DU473" s="489"/>
      <c r="DV473" s="489"/>
      <c r="DW473" s="489"/>
      <c r="DX473" s="489"/>
      <c r="DY473" s="489"/>
      <c r="DZ473" s="489"/>
      <c r="EA473" s="489"/>
      <c r="EB473" s="489"/>
      <c r="EC473" s="489"/>
      <c r="ED473" s="489"/>
      <c r="EE473" s="489"/>
      <c r="EF473" s="489"/>
      <c r="EG473" s="489"/>
      <c r="EH473" s="489"/>
      <c r="EI473" s="489"/>
      <c r="EJ473" s="489"/>
      <c r="EK473" s="489"/>
      <c r="EL473" s="489"/>
      <c r="EM473" s="489"/>
      <c r="EN473" s="489"/>
      <c r="EO473" s="489"/>
      <c r="EP473" s="489"/>
      <c r="EQ473" s="489"/>
      <c r="ER473" s="489"/>
      <c r="ES473" s="489"/>
      <c r="ET473" s="489"/>
      <c r="EU473" s="489"/>
      <c r="EV473" s="489"/>
      <c r="EW473" s="489"/>
    </row>
    <row r="474" spans="1:153" s="490" customFormat="1" ht="15" x14ac:dyDescent="0.25">
      <c r="A474" s="454" t="s">
        <v>4720</v>
      </c>
      <c r="B474" s="481"/>
      <c r="C474" s="482"/>
      <c r="D474" s="483"/>
      <c r="E474" s="483"/>
      <c r="F474" s="484"/>
      <c r="G474" s="484"/>
      <c r="H474" s="484"/>
      <c r="I474" s="485"/>
      <c r="J474" s="481"/>
      <c r="K474" s="481"/>
      <c r="L474" s="486"/>
      <c r="M474" s="479"/>
      <c r="N474" s="481"/>
      <c r="O474" s="487"/>
      <c r="P474" s="487"/>
      <c r="Q474" s="487"/>
      <c r="R474" s="488"/>
      <c r="S474" s="489"/>
      <c r="T474" s="489"/>
      <c r="U474" s="489"/>
      <c r="V474" s="489"/>
      <c r="W474" s="489"/>
      <c r="X474" s="489"/>
      <c r="Y474" s="489"/>
      <c r="Z474" s="489"/>
      <c r="AA474" s="489"/>
      <c r="AB474" s="489"/>
      <c r="AC474" s="489"/>
      <c r="AD474" s="489"/>
      <c r="AE474" s="489"/>
      <c r="AF474" s="489"/>
      <c r="AG474" s="489"/>
      <c r="AH474" s="489"/>
      <c r="AI474" s="489"/>
      <c r="AJ474" s="489"/>
      <c r="AK474" s="489"/>
      <c r="AL474" s="489"/>
      <c r="AM474" s="489"/>
      <c r="AN474" s="489"/>
      <c r="AO474" s="489"/>
      <c r="AP474" s="489"/>
      <c r="AQ474" s="489"/>
      <c r="AR474" s="489"/>
      <c r="AS474" s="489"/>
      <c r="AT474" s="489"/>
      <c r="AU474" s="489"/>
      <c r="AV474" s="489"/>
      <c r="AW474" s="489"/>
      <c r="AX474" s="489"/>
      <c r="AY474" s="489"/>
      <c r="AZ474" s="489"/>
      <c r="BA474" s="489"/>
      <c r="BB474" s="489"/>
      <c r="BC474" s="489"/>
      <c r="BD474" s="489"/>
      <c r="BE474" s="489"/>
      <c r="BF474" s="489"/>
      <c r="BG474" s="489"/>
      <c r="BH474" s="489"/>
      <c r="BI474" s="489"/>
      <c r="BJ474" s="489"/>
      <c r="BK474" s="489"/>
      <c r="BL474" s="489"/>
      <c r="BM474" s="489"/>
      <c r="BN474" s="489"/>
      <c r="BO474" s="489"/>
      <c r="BP474" s="489"/>
      <c r="BQ474" s="489"/>
      <c r="BR474" s="489"/>
      <c r="BS474" s="489"/>
      <c r="BT474" s="489"/>
      <c r="BU474" s="489"/>
      <c r="BV474" s="489"/>
      <c r="BW474" s="489"/>
      <c r="BX474" s="489"/>
      <c r="BY474" s="489"/>
      <c r="BZ474" s="489"/>
      <c r="CA474" s="489"/>
      <c r="CB474" s="489"/>
      <c r="CC474" s="489"/>
      <c r="CD474" s="489"/>
      <c r="CE474" s="489"/>
      <c r="CF474" s="489"/>
      <c r="CG474" s="489"/>
      <c r="CH474" s="489"/>
      <c r="CI474" s="489"/>
      <c r="CJ474" s="489"/>
      <c r="CK474" s="489"/>
      <c r="CL474" s="489"/>
      <c r="CM474" s="489"/>
      <c r="CN474" s="489"/>
      <c r="CO474" s="489"/>
      <c r="CP474" s="489"/>
      <c r="CQ474" s="489"/>
      <c r="CR474" s="489"/>
      <c r="CS474" s="489"/>
      <c r="CT474" s="489"/>
      <c r="CU474" s="489"/>
      <c r="CV474" s="489"/>
      <c r="CW474" s="489"/>
      <c r="CX474" s="489"/>
      <c r="CY474" s="489"/>
      <c r="CZ474" s="489"/>
      <c r="DA474" s="489"/>
      <c r="DB474" s="489"/>
      <c r="DC474" s="489"/>
      <c r="DD474" s="489"/>
      <c r="DE474" s="489"/>
      <c r="DF474" s="489"/>
      <c r="DG474" s="489"/>
      <c r="DH474" s="489"/>
      <c r="DI474" s="489"/>
      <c r="DJ474" s="489"/>
      <c r="DK474" s="489"/>
      <c r="DL474" s="489"/>
      <c r="DM474" s="489"/>
      <c r="DN474" s="489"/>
      <c r="DO474" s="489"/>
      <c r="DP474" s="489"/>
      <c r="DQ474" s="489"/>
      <c r="DR474" s="489"/>
      <c r="DS474" s="489"/>
      <c r="DT474" s="489"/>
      <c r="DU474" s="489"/>
      <c r="DV474" s="489"/>
      <c r="DW474" s="489"/>
      <c r="DX474" s="489"/>
      <c r="DY474" s="489"/>
      <c r="DZ474" s="489"/>
      <c r="EA474" s="489"/>
      <c r="EB474" s="489"/>
      <c r="EC474" s="489"/>
      <c r="ED474" s="489"/>
      <c r="EE474" s="489"/>
      <c r="EF474" s="489"/>
      <c r="EG474" s="489"/>
      <c r="EH474" s="489"/>
      <c r="EI474" s="489"/>
      <c r="EJ474" s="489"/>
      <c r="EK474" s="489"/>
      <c r="EL474" s="489"/>
      <c r="EM474" s="489"/>
      <c r="EN474" s="489"/>
      <c r="EO474" s="489"/>
      <c r="EP474" s="489"/>
      <c r="EQ474" s="489"/>
      <c r="ER474" s="489"/>
      <c r="ES474" s="489"/>
      <c r="ET474" s="489"/>
      <c r="EU474" s="489"/>
      <c r="EV474" s="489"/>
      <c r="EW474" s="489"/>
    </row>
    <row r="475" spans="1:153" s="490" customFormat="1" ht="15" x14ac:dyDescent="0.25">
      <c r="A475" s="454" t="s">
        <v>4356</v>
      </c>
      <c r="B475" s="481"/>
      <c r="C475" s="482"/>
      <c r="D475" s="483"/>
      <c r="E475" s="483"/>
      <c r="F475" s="484"/>
      <c r="G475" s="484"/>
      <c r="H475" s="484"/>
      <c r="I475" s="485"/>
      <c r="J475" s="481"/>
      <c r="K475" s="481"/>
      <c r="L475" s="486"/>
      <c r="M475" s="479"/>
      <c r="N475" s="481"/>
      <c r="O475" s="487"/>
      <c r="P475" s="487"/>
      <c r="Q475" s="487"/>
      <c r="R475" s="488"/>
      <c r="S475" s="489"/>
      <c r="T475" s="489"/>
      <c r="U475" s="489"/>
      <c r="V475" s="489"/>
      <c r="W475" s="489"/>
      <c r="X475" s="489"/>
      <c r="Y475" s="489"/>
      <c r="Z475" s="489"/>
      <c r="AA475" s="489"/>
      <c r="AB475" s="489"/>
      <c r="AC475" s="489"/>
      <c r="AD475" s="489"/>
      <c r="AE475" s="489"/>
      <c r="AF475" s="489"/>
      <c r="AG475" s="489"/>
      <c r="AH475" s="489"/>
      <c r="AI475" s="489"/>
      <c r="AJ475" s="489"/>
      <c r="AK475" s="489"/>
      <c r="AL475" s="489"/>
      <c r="AM475" s="489"/>
      <c r="AN475" s="489"/>
      <c r="AO475" s="489"/>
      <c r="AP475" s="489"/>
      <c r="AQ475" s="489"/>
      <c r="AR475" s="489"/>
      <c r="AS475" s="489"/>
      <c r="AT475" s="489"/>
      <c r="AU475" s="489"/>
      <c r="AV475" s="489"/>
      <c r="AW475" s="489"/>
      <c r="AX475" s="489"/>
      <c r="AY475" s="489"/>
      <c r="AZ475" s="489"/>
      <c r="BA475" s="489"/>
      <c r="BB475" s="489"/>
      <c r="BC475" s="489"/>
      <c r="BD475" s="489"/>
      <c r="BE475" s="489"/>
      <c r="BF475" s="489"/>
      <c r="BG475" s="489"/>
      <c r="BH475" s="489"/>
      <c r="BI475" s="489"/>
      <c r="BJ475" s="489"/>
      <c r="BK475" s="489"/>
      <c r="BL475" s="489"/>
      <c r="BM475" s="489"/>
      <c r="BN475" s="489"/>
      <c r="BO475" s="489"/>
      <c r="BP475" s="489"/>
      <c r="BQ475" s="489"/>
      <c r="BR475" s="489"/>
      <c r="BS475" s="489"/>
      <c r="BT475" s="489"/>
      <c r="BU475" s="489"/>
      <c r="BV475" s="489"/>
      <c r="BW475" s="489"/>
      <c r="BX475" s="489"/>
      <c r="BY475" s="489"/>
      <c r="BZ475" s="489"/>
      <c r="CA475" s="489"/>
      <c r="CB475" s="489"/>
      <c r="CC475" s="489"/>
      <c r="CD475" s="489"/>
      <c r="CE475" s="489"/>
      <c r="CF475" s="489"/>
      <c r="CG475" s="489"/>
      <c r="CH475" s="489"/>
      <c r="CI475" s="489"/>
      <c r="CJ475" s="489"/>
      <c r="CK475" s="489"/>
      <c r="CL475" s="489"/>
      <c r="CM475" s="489"/>
      <c r="CN475" s="489"/>
      <c r="CO475" s="489"/>
      <c r="CP475" s="489"/>
      <c r="CQ475" s="489"/>
      <c r="CR475" s="489"/>
      <c r="CS475" s="489"/>
      <c r="CT475" s="489"/>
      <c r="CU475" s="489"/>
      <c r="CV475" s="489"/>
      <c r="CW475" s="489"/>
      <c r="CX475" s="489"/>
      <c r="CY475" s="489"/>
      <c r="CZ475" s="489"/>
      <c r="DA475" s="489"/>
      <c r="DB475" s="489"/>
      <c r="DC475" s="489"/>
      <c r="DD475" s="489"/>
      <c r="DE475" s="489"/>
      <c r="DF475" s="489"/>
      <c r="DG475" s="489"/>
      <c r="DH475" s="489"/>
      <c r="DI475" s="489"/>
      <c r="DJ475" s="489"/>
      <c r="DK475" s="489"/>
      <c r="DL475" s="489"/>
      <c r="DM475" s="489"/>
      <c r="DN475" s="489"/>
      <c r="DO475" s="489"/>
      <c r="DP475" s="489"/>
      <c r="DQ475" s="489"/>
      <c r="DR475" s="489"/>
      <c r="DS475" s="489"/>
      <c r="DT475" s="489"/>
      <c r="DU475" s="489"/>
      <c r="DV475" s="489"/>
      <c r="DW475" s="489"/>
      <c r="DX475" s="489"/>
      <c r="DY475" s="489"/>
      <c r="DZ475" s="489"/>
      <c r="EA475" s="489"/>
      <c r="EB475" s="489"/>
      <c r="EC475" s="489"/>
      <c r="ED475" s="489"/>
      <c r="EE475" s="489"/>
      <c r="EF475" s="489"/>
      <c r="EG475" s="489"/>
      <c r="EH475" s="489"/>
      <c r="EI475" s="489"/>
      <c r="EJ475" s="489"/>
      <c r="EK475" s="489"/>
      <c r="EL475" s="489"/>
      <c r="EM475" s="489"/>
      <c r="EN475" s="489"/>
      <c r="EO475" s="489"/>
      <c r="EP475" s="489"/>
      <c r="EQ475" s="489"/>
      <c r="ER475" s="489"/>
      <c r="ES475" s="489"/>
      <c r="ET475" s="489"/>
      <c r="EU475" s="489"/>
      <c r="EV475" s="489"/>
      <c r="EW475" s="489"/>
    </row>
    <row r="476" spans="1:153" s="490" customFormat="1" ht="15" x14ac:dyDescent="0.25">
      <c r="A476" s="454" t="s">
        <v>4721</v>
      </c>
      <c r="B476" s="481"/>
      <c r="C476" s="482"/>
      <c r="D476" s="483"/>
      <c r="E476" s="483"/>
      <c r="F476" s="484"/>
      <c r="G476" s="484"/>
      <c r="H476" s="484"/>
      <c r="I476" s="485"/>
      <c r="J476" s="481"/>
      <c r="K476" s="481"/>
      <c r="L476" s="486"/>
      <c r="M476" s="479"/>
      <c r="N476" s="481"/>
      <c r="O476" s="487"/>
      <c r="P476" s="487"/>
      <c r="Q476" s="487"/>
      <c r="R476" s="488"/>
      <c r="S476" s="489"/>
      <c r="T476" s="489"/>
      <c r="U476" s="489"/>
      <c r="V476" s="489"/>
      <c r="W476" s="489"/>
      <c r="X476" s="489"/>
      <c r="Y476" s="489"/>
      <c r="Z476" s="489"/>
      <c r="AA476" s="489"/>
      <c r="AB476" s="489"/>
      <c r="AC476" s="489"/>
      <c r="AD476" s="489"/>
      <c r="AE476" s="489"/>
      <c r="AF476" s="489"/>
      <c r="AG476" s="489"/>
      <c r="AH476" s="489"/>
      <c r="AI476" s="489"/>
      <c r="AJ476" s="489"/>
      <c r="AK476" s="489"/>
      <c r="AL476" s="489"/>
      <c r="AM476" s="489"/>
      <c r="AN476" s="489"/>
      <c r="AO476" s="489"/>
      <c r="AP476" s="489"/>
      <c r="AQ476" s="489"/>
      <c r="AR476" s="489"/>
      <c r="AS476" s="489"/>
      <c r="AT476" s="489"/>
      <c r="AU476" s="489"/>
      <c r="AV476" s="489"/>
      <c r="AW476" s="489"/>
      <c r="AX476" s="489"/>
      <c r="AY476" s="489"/>
      <c r="AZ476" s="489"/>
      <c r="BA476" s="489"/>
      <c r="BB476" s="489"/>
      <c r="BC476" s="489"/>
      <c r="BD476" s="489"/>
      <c r="BE476" s="489"/>
      <c r="BF476" s="489"/>
      <c r="BG476" s="489"/>
      <c r="BH476" s="489"/>
      <c r="BI476" s="489"/>
      <c r="BJ476" s="489"/>
      <c r="BK476" s="489"/>
      <c r="BL476" s="489"/>
      <c r="BM476" s="489"/>
      <c r="BN476" s="489"/>
      <c r="BO476" s="489"/>
      <c r="BP476" s="489"/>
      <c r="BQ476" s="489"/>
      <c r="BR476" s="489"/>
      <c r="BS476" s="489"/>
      <c r="BT476" s="489"/>
      <c r="BU476" s="489"/>
      <c r="BV476" s="489"/>
      <c r="BW476" s="489"/>
      <c r="BX476" s="489"/>
      <c r="BY476" s="489"/>
      <c r="BZ476" s="489"/>
      <c r="CA476" s="489"/>
      <c r="CB476" s="489"/>
      <c r="CC476" s="489"/>
      <c r="CD476" s="489"/>
      <c r="CE476" s="489"/>
      <c r="CF476" s="489"/>
      <c r="CG476" s="489"/>
      <c r="CH476" s="489"/>
      <c r="CI476" s="489"/>
      <c r="CJ476" s="489"/>
      <c r="CK476" s="489"/>
      <c r="CL476" s="489"/>
      <c r="CM476" s="489"/>
      <c r="CN476" s="489"/>
      <c r="CO476" s="489"/>
      <c r="CP476" s="489"/>
      <c r="CQ476" s="489"/>
      <c r="CR476" s="489"/>
      <c r="CS476" s="489"/>
      <c r="CT476" s="489"/>
      <c r="CU476" s="489"/>
      <c r="CV476" s="489"/>
      <c r="CW476" s="489"/>
      <c r="CX476" s="489"/>
      <c r="CY476" s="489"/>
      <c r="CZ476" s="489"/>
      <c r="DA476" s="489"/>
      <c r="DB476" s="489"/>
      <c r="DC476" s="489"/>
      <c r="DD476" s="489"/>
      <c r="DE476" s="489"/>
      <c r="DF476" s="489"/>
      <c r="DG476" s="489"/>
      <c r="DH476" s="489"/>
      <c r="DI476" s="489"/>
      <c r="DJ476" s="489"/>
      <c r="DK476" s="489"/>
      <c r="DL476" s="489"/>
      <c r="DM476" s="489"/>
      <c r="DN476" s="489"/>
      <c r="DO476" s="489"/>
      <c r="DP476" s="489"/>
      <c r="DQ476" s="489"/>
      <c r="DR476" s="489"/>
      <c r="DS476" s="489"/>
      <c r="DT476" s="489"/>
      <c r="DU476" s="489"/>
      <c r="DV476" s="489"/>
      <c r="DW476" s="489"/>
      <c r="DX476" s="489"/>
      <c r="DY476" s="489"/>
      <c r="DZ476" s="489"/>
      <c r="EA476" s="489"/>
      <c r="EB476" s="489"/>
      <c r="EC476" s="489"/>
      <c r="ED476" s="489"/>
      <c r="EE476" s="489"/>
      <c r="EF476" s="489"/>
      <c r="EG476" s="489"/>
      <c r="EH476" s="489"/>
      <c r="EI476" s="489"/>
      <c r="EJ476" s="489"/>
      <c r="EK476" s="489"/>
      <c r="EL476" s="489"/>
      <c r="EM476" s="489"/>
      <c r="EN476" s="489"/>
      <c r="EO476" s="489"/>
      <c r="EP476" s="489"/>
      <c r="EQ476" s="489"/>
      <c r="ER476" s="489"/>
      <c r="ES476" s="489"/>
      <c r="ET476" s="489"/>
      <c r="EU476" s="489"/>
      <c r="EV476" s="489"/>
      <c r="EW476" s="489"/>
    </row>
    <row r="477" spans="1:153" s="490" customFormat="1" ht="15" x14ac:dyDescent="0.25">
      <c r="A477" s="454" t="s">
        <v>4722</v>
      </c>
      <c r="B477" s="481"/>
      <c r="C477" s="482"/>
      <c r="D477" s="483"/>
      <c r="E477" s="483"/>
      <c r="F477" s="484"/>
      <c r="G477" s="484"/>
      <c r="H477" s="484"/>
      <c r="I477" s="485"/>
      <c r="J477" s="481"/>
      <c r="K477" s="481"/>
      <c r="L477" s="486"/>
      <c r="M477" s="479"/>
      <c r="N477" s="481"/>
      <c r="O477" s="487"/>
      <c r="P477" s="487"/>
      <c r="Q477" s="487"/>
      <c r="R477" s="488"/>
      <c r="S477" s="489"/>
      <c r="T477" s="489"/>
      <c r="U477" s="489"/>
      <c r="V477" s="489"/>
      <c r="W477" s="489"/>
      <c r="X477" s="489"/>
      <c r="Y477" s="489"/>
      <c r="Z477" s="489"/>
      <c r="AA477" s="489"/>
      <c r="AB477" s="489"/>
      <c r="AC477" s="489"/>
      <c r="AD477" s="489"/>
      <c r="AE477" s="489"/>
      <c r="AF477" s="489"/>
      <c r="AG477" s="489"/>
      <c r="AH477" s="489"/>
      <c r="AI477" s="489"/>
      <c r="AJ477" s="489"/>
      <c r="AK477" s="489"/>
      <c r="AL477" s="489"/>
      <c r="AM477" s="489"/>
      <c r="AN477" s="489"/>
      <c r="AO477" s="489"/>
      <c r="AP477" s="489"/>
      <c r="AQ477" s="489"/>
      <c r="AR477" s="489"/>
      <c r="AS477" s="489"/>
      <c r="AT477" s="489"/>
      <c r="AU477" s="489"/>
      <c r="AV477" s="489"/>
      <c r="AW477" s="489"/>
      <c r="AX477" s="489"/>
      <c r="AY477" s="489"/>
      <c r="AZ477" s="489"/>
      <c r="BA477" s="489"/>
      <c r="BB477" s="489"/>
      <c r="BC477" s="489"/>
      <c r="BD477" s="489"/>
      <c r="BE477" s="489"/>
      <c r="BF477" s="489"/>
      <c r="BG477" s="489"/>
      <c r="BH477" s="489"/>
      <c r="BI477" s="489"/>
      <c r="BJ477" s="489"/>
      <c r="BK477" s="489"/>
      <c r="BL477" s="489"/>
      <c r="BM477" s="489"/>
      <c r="BN477" s="489"/>
      <c r="BO477" s="489"/>
      <c r="BP477" s="489"/>
      <c r="BQ477" s="489"/>
      <c r="BR477" s="489"/>
      <c r="BS477" s="489"/>
      <c r="BT477" s="489"/>
      <c r="BU477" s="489"/>
      <c r="BV477" s="489"/>
      <c r="BW477" s="489"/>
      <c r="BX477" s="489"/>
      <c r="BY477" s="489"/>
      <c r="BZ477" s="489"/>
      <c r="CA477" s="489"/>
      <c r="CB477" s="489"/>
      <c r="CC477" s="489"/>
      <c r="CD477" s="489"/>
      <c r="CE477" s="489"/>
      <c r="CF477" s="489"/>
      <c r="CG477" s="489"/>
      <c r="CH477" s="489"/>
      <c r="CI477" s="489"/>
      <c r="CJ477" s="489"/>
      <c r="CK477" s="489"/>
      <c r="CL477" s="489"/>
      <c r="CM477" s="489"/>
      <c r="CN477" s="489"/>
      <c r="CO477" s="489"/>
      <c r="CP477" s="489"/>
      <c r="CQ477" s="489"/>
      <c r="CR477" s="489"/>
      <c r="CS477" s="489"/>
      <c r="CT477" s="489"/>
      <c r="CU477" s="489"/>
      <c r="CV477" s="489"/>
      <c r="CW477" s="489"/>
      <c r="CX477" s="489"/>
      <c r="CY477" s="489"/>
      <c r="CZ477" s="489"/>
      <c r="DA477" s="489"/>
      <c r="DB477" s="489"/>
      <c r="DC477" s="489"/>
      <c r="DD477" s="489"/>
      <c r="DE477" s="489"/>
      <c r="DF477" s="489"/>
      <c r="DG477" s="489"/>
      <c r="DH477" s="489"/>
      <c r="DI477" s="489"/>
      <c r="DJ477" s="489"/>
      <c r="DK477" s="489"/>
      <c r="DL477" s="489"/>
      <c r="DM477" s="489"/>
      <c r="DN477" s="489"/>
      <c r="DO477" s="489"/>
      <c r="DP477" s="489"/>
      <c r="DQ477" s="489"/>
      <c r="DR477" s="489"/>
      <c r="DS477" s="489"/>
      <c r="DT477" s="489"/>
      <c r="DU477" s="489"/>
      <c r="DV477" s="489"/>
      <c r="DW477" s="489"/>
      <c r="DX477" s="489"/>
      <c r="DY477" s="489"/>
      <c r="DZ477" s="489"/>
      <c r="EA477" s="489"/>
      <c r="EB477" s="489"/>
      <c r="EC477" s="489"/>
      <c r="ED477" s="489"/>
      <c r="EE477" s="489"/>
      <c r="EF477" s="489"/>
      <c r="EG477" s="489"/>
      <c r="EH477" s="489"/>
      <c r="EI477" s="489"/>
      <c r="EJ477" s="489"/>
      <c r="EK477" s="489"/>
      <c r="EL477" s="489"/>
      <c r="EM477" s="489"/>
      <c r="EN477" s="489"/>
      <c r="EO477" s="489"/>
      <c r="EP477" s="489"/>
      <c r="EQ477" s="489"/>
      <c r="ER477" s="489"/>
      <c r="ES477" s="489"/>
      <c r="ET477" s="489"/>
      <c r="EU477" s="489"/>
      <c r="EV477" s="489"/>
      <c r="EW477" s="489"/>
    </row>
    <row r="478" spans="1:153" s="490" customFormat="1" ht="15" x14ac:dyDescent="0.25">
      <c r="A478" s="454" t="s">
        <v>4685</v>
      </c>
      <c r="B478" s="481"/>
      <c r="C478" s="482"/>
      <c r="D478" s="483"/>
      <c r="E478" s="483"/>
      <c r="F478" s="484"/>
      <c r="G478" s="484"/>
      <c r="H478" s="484"/>
      <c r="I478" s="485"/>
      <c r="J478" s="481"/>
      <c r="K478" s="481"/>
      <c r="L478" s="486"/>
      <c r="M478" s="479"/>
      <c r="N478" s="481"/>
      <c r="O478" s="487"/>
      <c r="P478" s="487"/>
      <c r="Q478" s="487"/>
      <c r="R478" s="488"/>
      <c r="S478" s="489"/>
      <c r="T478" s="489"/>
      <c r="U478" s="489"/>
      <c r="V478" s="489"/>
      <c r="W478" s="489"/>
      <c r="X478" s="489"/>
      <c r="Y478" s="489"/>
      <c r="Z478" s="489"/>
      <c r="AA478" s="489"/>
      <c r="AB478" s="489"/>
      <c r="AC478" s="489"/>
      <c r="AD478" s="489"/>
      <c r="AE478" s="489"/>
      <c r="AF478" s="489"/>
      <c r="AG478" s="489"/>
      <c r="AH478" s="489"/>
      <c r="AI478" s="489"/>
      <c r="AJ478" s="489"/>
      <c r="AK478" s="489"/>
      <c r="AL478" s="489"/>
      <c r="AM478" s="489"/>
      <c r="AN478" s="489"/>
      <c r="AO478" s="489"/>
      <c r="AP478" s="489"/>
      <c r="AQ478" s="489"/>
      <c r="AR478" s="489"/>
      <c r="AS478" s="489"/>
      <c r="AT478" s="489"/>
      <c r="AU478" s="489"/>
      <c r="AV478" s="489"/>
      <c r="AW478" s="489"/>
      <c r="AX478" s="489"/>
      <c r="AY478" s="489"/>
      <c r="AZ478" s="489"/>
      <c r="BA478" s="489"/>
      <c r="BB478" s="489"/>
      <c r="BC478" s="489"/>
      <c r="BD478" s="489"/>
      <c r="BE478" s="489"/>
      <c r="BF478" s="489"/>
      <c r="BG478" s="489"/>
      <c r="BH478" s="489"/>
      <c r="BI478" s="489"/>
      <c r="BJ478" s="489"/>
      <c r="BK478" s="489"/>
      <c r="BL478" s="489"/>
      <c r="BM478" s="489"/>
      <c r="BN478" s="489"/>
      <c r="BO478" s="489"/>
      <c r="BP478" s="489"/>
      <c r="BQ478" s="489"/>
      <c r="BR478" s="489"/>
      <c r="BS478" s="489"/>
      <c r="BT478" s="489"/>
      <c r="BU478" s="489"/>
      <c r="BV478" s="489"/>
      <c r="BW478" s="489"/>
      <c r="BX478" s="489"/>
      <c r="BY478" s="489"/>
      <c r="BZ478" s="489"/>
      <c r="CA478" s="489"/>
      <c r="CB478" s="489"/>
      <c r="CC478" s="489"/>
      <c r="CD478" s="489"/>
      <c r="CE478" s="489"/>
      <c r="CF478" s="489"/>
      <c r="CG478" s="489"/>
      <c r="CH478" s="489"/>
      <c r="CI478" s="489"/>
      <c r="CJ478" s="489"/>
      <c r="CK478" s="489"/>
      <c r="CL478" s="489"/>
      <c r="CM478" s="489"/>
      <c r="CN478" s="489"/>
      <c r="CO478" s="489"/>
      <c r="CP478" s="489"/>
      <c r="CQ478" s="489"/>
      <c r="CR478" s="489"/>
      <c r="CS478" s="489"/>
      <c r="CT478" s="489"/>
      <c r="CU478" s="489"/>
      <c r="CV478" s="489"/>
      <c r="CW478" s="489"/>
      <c r="CX478" s="489"/>
      <c r="CY478" s="489"/>
      <c r="CZ478" s="489"/>
      <c r="DA478" s="489"/>
      <c r="DB478" s="489"/>
      <c r="DC478" s="489"/>
      <c r="DD478" s="489"/>
      <c r="DE478" s="489"/>
      <c r="DF478" s="489"/>
      <c r="DG478" s="489"/>
      <c r="DH478" s="489"/>
      <c r="DI478" s="489"/>
      <c r="DJ478" s="489"/>
      <c r="DK478" s="489"/>
      <c r="DL478" s="489"/>
      <c r="DM478" s="489"/>
      <c r="DN478" s="489"/>
      <c r="DO478" s="489"/>
      <c r="DP478" s="489"/>
      <c r="DQ478" s="489"/>
      <c r="DR478" s="489"/>
      <c r="DS478" s="489"/>
      <c r="DT478" s="489"/>
      <c r="DU478" s="489"/>
      <c r="DV478" s="489"/>
      <c r="DW478" s="489"/>
      <c r="DX478" s="489"/>
      <c r="DY478" s="489"/>
      <c r="DZ478" s="489"/>
      <c r="EA478" s="489"/>
      <c r="EB478" s="489"/>
      <c r="EC478" s="489"/>
      <c r="ED478" s="489"/>
      <c r="EE478" s="489"/>
      <c r="EF478" s="489"/>
      <c r="EG478" s="489"/>
      <c r="EH478" s="489"/>
      <c r="EI478" s="489"/>
      <c r="EJ478" s="489"/>
      <c r="EK478" s="489"/>
      <c r="EL478" s="489"/>
      <c r="EM478" s="489"/>
      <c r="EN478" s="489"/>
      <c r="EO478" s="489"/>
      <c r="EP478" s="489"/>
      <c r="EQ478" s="489"/>
      <c r="ER478" s="489"/>
      <c r="ES478" s="489"/>
      <c r="ET478" s="489"/>
      <c r="EU478" s="489"/>
      <c r="EV478" s="489"/>
      <c r="EW478" s="489"/>
    </row>
    <row r="479" spans="1:153" s="504" customFormat="1" ht="15" x14ac:dyDescent="0.25">
      <c r="A479" s="455"/>
      <c r="B479" s="491"/>
      <c r="C479" s="493"/>
      <c r="D479" s="501"/>
      <c r="E479" s="501"/>
      <c r="F479" s="502"/>
      <c r="G479" s="502"/>
      <c r="H479" s="502"/>
      <c r="I479" s="503"/>
      <c r="J479" s="491"/>
      <c r="K479" s="491"/>
      <c r="L479" s="492"/>
      <c r="N479" s="491"/>
      <c r="O479" s="491"/>
      <c r="P479" s="491"/>
      <c r="Q479" s="491"/>
      <c r="R479" s="492"/>
      <c r="S479" s="493"/>
      <c r="T479" s="493"/>
      <c r="U479" s="493"/>
      <c r="V479" s="493"/>
      <c r="W479" s="493"/>
      <c r="X479" s="493"/>
      <c r="Y479" s="493"/>
      <c r="Z479" s="493"/>
      <c r="AA479" s="493"/>
      <c r="AB479" s="493"/>
      <c r="AC479" s="493"/>
      <c r="AD479" s="493"/>
      <c r="AE479" s="493"/>
      <c r="AF479" s="493"/>
      <c r="AG479" s="493"/>
      <c r="AH479" s="493"/>
      <c r="AI479" s="493"/>
      <c r="AJ479" s="493"/>
      <c r="AK479" s="493"/>
      <c r="AL479" s="493"/>
      <c r="AM479" s="493"/>
      <c r="AN479" s="493"/>
      <c r="AO479" s="493"/>
      <c r="AP479" s="493"/>
      <c r="AQ479" s="493"/>
      <c r="AR479" s="493"/>
      <c r="AS479" s="493"/>
      <c r="AT479" s="493"/>
      <c r="AU479" s="493"/>
      <c r="AV479" s="493"/>
      <c r="AW479" s="493"/>
      <c r="AX479" s="493"/>
      <c r="AY479" s="493"/>
      <c r="AZ479" s="493"/>
      <c r="BA479" s="493"/>
      <c r="BB479" s="493"/>
      <c r="BC479" s="493"/>
      <c r="BD479" s="493"/>
      <c r="BE479" s="493"/>
      <c r="BF479" s="493"/>
      <c r="BG479" s="493"/>
      <c r="BH479" s="493"/>
      <c r="BI479" s="493"/>
      <c r="BJ479" s="493"/>
      <c r="BK479" s="493"/>
      <c r="BL479" s="493"/>
      <c r="BM479" s="493"/>
      <c r="BN479" s="493"/>
      <c r="BO479" s="493"/>
      <c r="BP479" s="493"/>
      <c r="BQ479" s="493"/>
      <c r="BR479" s="493"/>
      <c r="BS479" s="493"/>
      <c r="BT479" s="493"/>
      <c r="BU479" s="493"/>
      <c r="BV479" s="493"/>
      <c r="BW479" s="493"/>
      <c r="BX479" s="493"/>
      <c r="BY479" s="493"/>
      <c r="BZ479" s="493"/>
      <c r="CA479" s="493"/>
      <c r="CB479" s="493"/>
      <c r="CC479" s="493"/>
      <c r="CD479" s="493"/>
      <c r="CE479" s="493"/>
      <c r="CF479" s="493"/>
      <c r="CG479" s="493"/>
      <c r="CH479" s="493"/>
      <c r="CI479" s="493"/>
      <c r="CJ479" s="493"/>
      <c r="CK479" s="493"/>
      <c r="CL479" s="493"/>
      <c r="CM479" s="493"/>
      <c r="CN479" s="493"/>
      <c r="CO479" s="493"/>
      <c r="CP479" s="493"/>
      <c r="CQ479" s="493"/>
      <c r="CR479" s="493"/>
      <c r="CS479" s="493"/>
      <c r="CT479" s="493"/>
      <c r="CU479" s="493"/>
      <c r="CV479" s="493"/>
      <c r="CW479" s="493"/>
      <c r="CX479" s="493"/>
      <c r="CY479" s="493"/>
      <c r="CZ479" s="493"/>
      <c r="DA479" s="493"/>
      <c r="DB479" s="493"/>
      <c r="DC479" s="493"/>
      <c r="DD479" s="493"/>
      <c r="DE479" s="493"/>
      <c r="DF479" s="493"/>
      <c r="DG479" s="493"/>
      <c r="DH479" s="493"/>
      <c r="DI479" s="493"/>
      <c r="DJ479" s="493"/>
      <c r="DK479" s="493"/>
      <c r="DL479" s="493"/>
      <c r="DM479" s="493"/>
      <c r="DN479" s="493"/>
      <c r="DO479" s="493"/>
      <c r="DP479" s="493"/>
      <c r="DQ479" s="493"/>
      <c r="DR479" s="493"/>
      <c r="DS479" s="493"/>
      <c r="DT479" s="493"/>
      <c r="DU479" s="493"/>
      <c r="DV479" s="493"/>
      <c r="DW479" s="493"/>
      <c r="DX479" s="493"/>
      <c r="DY479" s="493"/>
      <c r="DZ479" s="493"/>
      <c r="EA479" s="493"/>
      <c r="EB479" s="493"/>
      <c r="EC479" s="493"/>
      <c r="ED479" s="493"/>
      <c r="EE479" s="493"/>
      <c r="EF479" s="493"/>
      <c r="EG479" s="493"/>
      <c r="EH479" s="493"/>
      <c r="EI479" s="493"/>
      <c r="EJ479" s="493"/>
      <c r="EK479" s="493"/>
      <c r="EL479" s="493"/>
      <c r="EM479" s="493"/>
      <c r="EN479" s="493"/>
      <c r="EO479" s="493"/>
      <c r="EP479" s="493"/>
      <c r="EQ479" s="493"/>
      <c r="ER479" s="493"/>
      <c r="ES479" s="493"/>
      <c r="ET479" s="493"/>
      <c r="EU479" s="493"/>
      <c r="EV479" s="493"/>
      <c r="EW479" s="493"/>
    </row>
    <row r="480" spans="1:153" s="141" customFormat="1" ht="15" x14ac:dyDescent="0.2">
      <c r="A480" s="415" t="s">
        <v>4560</v>
      </c>
      <c r="C480" s="135"/>
      <c r="D480" s="136"/>
      <c r="E480" s="136"/>
      <c r="F480" s="137"/>
      <c r="G480" s="138"/>
      <c r="H480" s="138"/>
      <c r="I480" s="463"/>
      <c r="J480" s="134"/>
      <c r="K480" s="139"/>
      <c r="L480" s="140"/>
      <c r="N480" s="134"/>
      <c r="O480" s="134"/>
      <c r="P480" s="134"/>
      <c r="Q480" s="134"/>
      <c r="R480" s="140"/>
      <c r="S480" s="135"/>
      <c r="T480" s="135"/>
      <c r="U480" s="135"/>
      <c r="V480" s="135"/>
      <c r="W480" s="135"/>
      <c r="X480" s="135"/>
      <c r="Y480" s="135"/>
      <c r="Z480" s="135"/>
      <c r="AA480" s="135"/>
      <c r="AB480" s="135"/>
      <c r="AC480" s="135"/>
      <c r="AD480" s="135"/>
      <c r="AE480" s="135"/>
      <c r="AF480" s="135"/>
      <c r="AG480" s="135"/>
      <c r="AH480" s="135"/>
      <c r="AI480" s="135"/>
      <c r="AJ480" s="135"/>
      <c r="AK480" s="135"/>
      <c r="AL480" s="135"/>
      <c r="AM480" s="135"/>
      <c r="AN480" s="135"/>
      <c r="AO480" s="135"/>
      <c r="AP480" s="135"/>
      <c r="AQ480" s="135"/>
      <c r="AR480" s="135"/>
      <c r="AS480" s="135"/>
      <c r="AT480" s="135"/>
      <c r="AU480" s="135"/>
      <c r="AV480" s="135"/>
      <c r="AW480" s="135"/>
      <c r="AX480" s="135"/>
      <c r="AY480" s="135"/>
      <c r="AZ480" s="135"/>
      <c r="BA480" s="135"/>
      <c r="BB480" s="135"/>
      <c r="BC480" s="135"/>
      <c r="BD480" s="135"/>
      <c r="BE480" s="135"/>
      <c r="BF480" s="135"/>
      <c r="BG480" s="135"/>
      <c r="BH480" s="135"/>
      <c r="BI480" s="135"/>
      <c r="BJ480" s="135"/>
      <c r="BK480" s="135"/>
      <c r="BL480" s="135"/>
      <c r="BM480" s="135"/>
      <c r="BN480" s="135"/>
      <c r="BO480" s="135"/>
      <c r="BP480" s="135"/>
      <c r="BQ480" s="135"/>
      <c r="BR480" s="135"/>
      <c r="BS480" s="135"/>
      <c r="BT480" s="135"/>
      <c r="BU480" s="135"/>
      <c r="BV480" s="135"/>
      <c r="BW480" s="135"/>
      <c r="BX480" s="135"/>
      <c r="BY480" s="135"/>
      <c r="BZ480" s="135"/>
      <c r="CA480" s="135"/>
      <c r="CB480" s="135"/>
      <c r="CC480" s="135"/>
      <c r="CD480" s="135"/>
      <c r="CE480" s="135"/>
      <c r="CF480" s="135"/>
      <c r="CG480" s="135"/>
      <c r="CH480" s="135"/>
      <c r="CI480" s="135"/>
      <c r="CJ480" s="135"/>
      <c r="CK480" s="135"/>
      <c r="CL480" s="135"/>
      <c r="CM480" s="135"/>
      <c r="CN480" s="135"/>
      <c r="CO480" s="135"/>
      <c r="CP480" s="135"/>
      <c r="CQ480" s="135"/>
      <c r="CR480" s="135"/>
      <c r="CS480" s="135"/>
      <c r="CT480" s="135"/>
      <c r="CU480" s="135"/>
      <c r="CV480" s="135"/>
      <c r="CW480" s="135"/>
      <c r="CX480" s="135"/>
      <c r="CY480" s="135"/>
      <c r="CZ480" s="135"/>
      <c r="DA480" s="135"/>
      <c r="DB480" s="135"/>
      <c r="DC480" s="135"/>
      <c r="DD480" s="135"/>
      <c r="DE480" s="135"/>
      <c r="DF480" s="135"/>
      <c r="DG480" s="135"/>
      <c r="DH480" s="135"/>
      <c r="DI480" s="135"/>
      <c r="DJ480" s="135"/>
      <c r="DK480" s="135"/>
      <c r="DL480" s="135"/>
      <c r="DM480" s="135"/>
      <c r="DN480" s="135"/>
      <c r="DO480" s="135"/>
      <c r="DP480" s="135"/>
      <c r="DQ480" s="135"/>
      <c r="DR480" s="135"/>
      <c r="DS480" s="135"/>
      <c r="DT480" s="135"/>
      <c r="DU480" s="135"/>
      <c r="DV480" s="135"/>
      <c r="DW480" s="135"/>
      <c r="DX480" s="135"/>
      <c r="DY480" s="135"/>
      <c r="DZ480" s="135"/>
      <c r="EA480" s="135"/>
      <c r="EB480" s="135"/>
      <c r="EC480" s="135"/>
      <c r="ED480" s="135"/>
      <c r="EE480" s="135"/>
      <c r="EF480" s="135"/>
      <c r="EG480" s="135"/>
      <c r="EH480" s="135"/>
      <c r="EI480" s="135"/>
      <c r="EJ480" s="135"/>
      <c r="EK480" s="135"/>
      <c r="EL480" s="135"/>
      <c r="EM480" s="135"/>
      <c r="EN480" s="135"/>
      <c r="EO480" s="135"/>
      <c r="EP480" s="135"/>
      <c r="EQ480" s="135"/>
      <c r="ER480" s="135"/>
      <c r="ES480" s="135"/>
      <c r="ET480" s="135"/>
      <c r="EU480" s="135"/>
      <c r="EV480" s="135"/>
      <c r="EW480" s="135"/>
    </row>
    <row r="481" spans="1:153" s="141" customFormat="1" ht="15" x14ac:dyDescent="0.2">
      <c r="A481" s="415" t="s">
        <v>4561</v>
      </c>
      <c r="C481" s="135"/>
      <c r="D481" s="136"/>
      <c r="E481" s="136"/>
      <c r="F481" s="137"/>
      <c r="G481" s="138"/>
      <c r="H481" s="138"/>
      <c r="I481" s="463"/>
      <c r="J481" s="134"/>
      <c r="K481" s="139"/>
      <c r="L481" s="140"/>
      <c r="N481" s="134"/>
      <c r="O481" s="134"/>
      <c r="P481" s="134"/>
      <c r="Q481" s="134"/>
      <c r="R481" s="140"/>
      <c r="S481" s="135"/>
      <c r="T481" s="135"/>
      <c r="U481" s="135"/>
      <c r="V481" s="135"/>
      <c r="W481" s="135"/>
      <c r="X481" s="135"/>
      <c r="Y481" s="135"/>
      <c r="Z481" s="135"/>
      <c r="AA481" s="135"/>
      <c r="AB481" s="135"/>
      <c r="AC481" s="135"/>
      <c r="AD481" s="135"/>
      <c r="AE481" s="135"/>
      <c r="AF481" s="135"/>
      <c r="AG481" s="135"/>
      <c r="AH481" s="135"/>
      <c r="AI481" s="135"/>
      <c r="AJ481" s="135"/>
      <c r="AK481" s="135"/>
      <c r="AL481" s="135"/>
      <c r="AM481" s="135"/>
      <c r="AN481" s="135"/>
      <c r="AO481" s="135"/>
      <c r="AP481" s="135"/>
      <c r="AQ481" s="135"/>
      <c r="AR481" s="135"/>
      <c r="AS481" s="135"/>
      <c r="AT481" s="135"/>
      <c r="AU481" s="135"/>
      <c r="AV481" s="135"/>
      <c r="AW481" s="135"/>
      <c r="AX481" s="135"/>
      <c r="AY481" s="135"/>
      <c r="AZ481" s="135"/>
      <c r="BA481" s="135"/>
      <c r="BB481" s="135"/>
      <c r="BC481" s="135"/>
      <c r="BD481" s="135"/>
      <c r="BE481" s="135"/>
      <c r="BF481" s="135"/>
      <c r="BG481" s="135"/>
      <c r="BH481" s="135"/>
      <c r="BI481" s="135"/>
      <c r="BJ481" s="135"/>
      <c r="BK481" s="135"/>
      <c r="BL481" s="135"/>
      <c r="BM481" s="135"/>
      <c r="BN481" s="135"/>
      <c r="BO481" s="135"/>
      <c r="BP481" s="135"/>
      <c r="BQ481" s="135"/>
      <c r="BR481" s="135"/>
      <c r="BS481" s="135"/>
      <c r="BT481" s="135"/>
      <c r="BU481" s="135"/>
      <c r="BV481" s="135"/>
      <c r="BW481" s="135"/>
      <c r="BX481" s="135"/>
      <c r="BY481" s="135"/>
      <c r="BZ481" s="135"/>
      <c r="CA481" s="135"/>
      <c r="CB481" s="135"/>
      <c r="CC481" s="135"/>
      <c r="CD481" s="135"/>
      <c r="CE481" s="135"/>
      <c r="CF481" s="135"/>
      <c r="CG481" s="135"/>
      <c r="CH481" s="135"/>
      <c r="CI481" s="135"/>
      <c r="CJ481" s="135"/>
      <c r="CK481" s="135"/>
      <c r="CL481" s="135"/>
      <c r="CM481" s="135"/>
      <c r="CN481" s="135"/>
      <c r="CO481" s="135"/>
      <c r="CP481" s="135"/>
      <c r="CQ481" s="135"/>
      <c r="CR481" s="135"/>
      <c r="CS481" s="135"/>
      <c r="CT481" s="135"/>
      <c r="CU481" s="135"/>
      <c r="CV481" s="135"/>
      <c r="CW481" s="135"/>
      <c r="CX481" s="135"/>
      <c r="CY481" s="135"/>
      <c r="CZ481" s="135"/>
      <c r="DA481" s="135"/>
      <c r="DB481" s="135"/>
      <c r="DC481" s="135"/>
      <c r="DD481" s="135"/>
      <c r="DE481" s="135"/>
      <c r="DF481" s="135"/>
      <c r="DG481" s="135"/>
      <c r="DH481" s="135"/>
      <c r="DI481" s="135"/>
      <c r="DJ481" s="135"/>
      <c r="DK481" s="135"/>
      <c r="DL481" s="135"/>
      <c r="DM481" s="135"/>
      <c r="DN481" s="135"/>
      <c r="DO481" s="135"/>
      <c r="DP481" s="135"/>
      <c r="DQ481" s="135"/>
      <c r="DR481" s="135"/>
      <c r="DS481" s="135"/>
      <c r="DT481" s="135"/>
      <c r="DU481" s="135"/>
      <c r="DV481" s="135"/>
      <c r="DW481" s="135"/>
      <c r="DX481" s="135"/>
      <c r="DY481" s="135"/>
      <c r="DZ481" s="135"/>
      <c r="EA481" s="135"/>
      <c r="EB481" s="135"/>
      <c r="EC481" s="135"/>
      <c r="ED481" s="135"/>
      <c r="EE481" s="135"/>
      <c r="EF481" s="135"/>
      <c r="EG481" s="135"/>
      <c r="EH481" s="135"/>
      <c r="EI481" s="135"/>
      <c r="EJ481" s="135"/>
      <c r="EK481" s="135"/>
      <c r="EL481" s="135"/>
      <c r="EM481" s="135"/>
      <c r="EN481" s="135"/>
      <c r="EO481" s="135"/>
      <c r="EP481" s="135"/>
      <c r="EQ481" s="135"/>
      <c r="ER481" s="135"/>
      <c r="ES481" s="135"/>
      <c r="ET481" s="135"/>
      <c r="EU481" s="135"/>
      <c r="EV481" s="135"/>
      <c r="EW481" s="135"/>
    </row>
    <row r="482" spans="1:153" s="141" customFormat="1" x14ac:dyDescent="0.2">
      <c r="B482" s="134"/>
      <c r="C482" s="135"/>
      <c r="D482" s="136"/>
      <c r="E482" s="136"/>
      <c r="F482" s="137"/>
      <c r="G482" s="138"/>
      <c r="H482" s="138"/>
      <c r="I482" s="463"/>
      <c r="J482" s="134"/>
      <c r="K482" s="139"/>
      <c r="L482" s="140"/>
      <c r="N482" s="134"/>
      <c r="O482" s="134"/>
      <c r="P482" s="134"/>
      <c r="Q482" s="134"/>
      <c r="R482" s="140"/>
      <c r="S482" s="135"/>
      <c r="T482" s="135"/>
      <c r="U482" s="135"/>
      <c r="V482" s="135"/>
      <c r="W482" s="135"/>
      <c r="X482" s="135"/>
      <c r="Y482" s="135"/>
      <c r="Z482" s="135"/>
      <c r="AA482" s="135"/>
      <c r="AB482" s="135"/>
      <c r="AC482" s="135"/>
      <c r="AD482" s="135"/>
      <c r="AE482" s="135"/>
      <c r="AF482" s="135"/>
      <c r="AG482" s="135"/>
      <c r="AH482" s="135"/>
      <c r="AI482" s="135"/>
      <c r="AJ482" s="135"/>
      <c r="AK482" s="135"/>
      <c r="AL482" s="135"/>
      <c r="AM482" s="135"/>
      <c r="AN482" s="135"/>
      <c r="AO482" s="135"/>
      <c r="AP482" s="135"/>
      <c r="AQ482" s="135"/>
      <c r="AR482" s="135"/>
      <c r="AS482" s="135"/>
      <c r="AT482" s="135"/>
      <c r="AU482" s="135"/>
      <c r="AV482" s="135"/>
      <c r="AW482" s="135"/>
      <c r="AX482" s="135"/>
      <c r="AY482" s="135"/>
      <c r="AZ482" s="135"/>
      <c r="BA482" s="135"/>
      <c r="BB482" s="135"/>
      <c r="BC482" s="135"/>
      <c r="BD482" s="135"/>
      <c r="BE482" s="135"/>
      <c r="BF482" s="135"/>
      <c r="BG482" s="135"/>
      <c r="BH482" s="135"/>
      <c r="BI482" s="135"/>
      <c r="BJ482" s="135"/>
      <c r="BK482" s="135"/>
      <c r="BL482" s="135"/>
      <c r="BM482" s="135"/>
      <c r="BN482" s="135"/>
      <c r="BO482" s="135"/>
      <c r="BP482" s="135"/>
      <c r="BQ482" s="135"/>
      <c r="BR482" s="135"/>
      <c r="BS482" s="135"/>
      <c r="BT482" s="135"/>
      <c r="BU482" s="135"/>
      <c r="BV482" s="135"/>
      <c r="BW482" s="135"/>
      <c r="BX482" s="135"/>
      <c r="BY482" s="135"/>
      <c r="BZ482" s="135"/>
      <c r="CA482" s="135"/>
      <c r="CB482" s="135"/>
      <c r="CC482" s="135"/>
      <c r="CD482" s="135"/>
      <c r="CE482" s="135"/>
      <c r="CF482" s="135"/>
      <c r="CG482" s="135"/>
      <c r="CH482" s="135"/>
      <c r="CI482" s="135"/>
      <c r="CJ482" s="135"/>
      <c r="CK482" s="135"/>
      <c r="CL482" s="135"/>
      <c r="CM482" s="135"/>
      <c r="CN482" s="135"/>
      <c r="CO482" s="135"/>
      <c r="CP482" s="135"/>
      <c r="CQ482" s="135"/>
      <c r="CR482" s="135"/>
      <c r="CS482" s="135"/>
      <c r="CT482" s="135"/>
      <c r="CU482" s="135"/>
      <c r="CV482" s="135"/>
      <c r="CW482" s="135"/>
      <c r="CX482" s="135"/>
      <c r="CY482" s="135"/>
      <c r="CZ482" s="135"/>
      <c r="DA482" s="135"/>
      <c r="DB482" s="135"/>
      <c r="DC482" s="135"/>
      <c r="DD482" s="135"/>
      <c r="DE482" s="135"/>
      <c r="DF482" s="135"/>
      <c r="DG482" s="135"/>
      <c r="DH482" s="135"/>
      <c r="DI482" s="135"/>
      <c r="DJ482" s="135"/>
      <c r="DK482" s="135"/>
      <c r="DL482" s="135"/>
      <c r="DM482" s="135"/>
      <c r="DN482" s="135"/>
      <c r="DO482" s="135"/>
      <c r="DP482" s="135"/>
      <c r="DQ482" s="135"/>
      <c r="DR482" s="135"/>
      <c r="DS482" s="135"/>
      <c r="DT482" s="135"/>
      <c r="DU482" s="135"/>
      <c r="DV482" s="135"/>
      <c r="DW482" s="135"/>
      <c r="DX482" s="135"/>
      <c r="DY482" s="135"/>
      <c r="DZ482" s="135"/>
      <c r="EA482" s="135"/>
      <c r="EB482" s="135"/>
      <c r="EC482" s="135"/>
      <c r="ED482" s="135"/>
      <c r="EE482" s="135"/>
      <c r="EF482" s="135"/>
      <c r="EG482" s="135"/>
      <c r="EH482" s="135"/>
      <c r="EI482" s="135"/>
      <c r="EJ482" s="135"/>
      <c r="EK482" s="135"/>
      <c r="EL482" s="135"/>
      <c r="EM482" s="135"/>
      <c r="EN482" s="135"/>
      <c r="EO482" s="135"/>
      <c r="EP482" s="135"/>
      <c r="EQ482" s="135"/>
      <c r="ER482" s="135"/>
      <c r="ES482" s="135"/>
      <c r="ET482" s="135"/>
      <c r="EU482" s="135"/>
      <c r="EV482" s="135"/>
      <c r="EW482" s="135"/>
    </row>
    <row r="483" spans="1:153" s="141" customFormat="1" x14ac:dyDescent="0.2">
      <c r="B483" s="134"/>
      <c r="C483" s="135"/>
      <c r="D483" s="136"/>
      <c r="E483" s="136"/>
      <c r="F483" s="137"/>
      <c r="G483" s="138"/>
      <c r="H483" s="138"/>
      <c r="I483" s="463"/>
      <c r="J483" s="134"/>
      <c r="K483" s="139"/>
      <c r="L483" s="140"/>
      <c r="N483" s="134"/>
      <c r="O483" s="134"/>
      <c r="P483" s="134"/>
      <c r="Q483" s="134"/>
      <c r="R483" s="140"/>
      <c r="S483" s="135"/>
      <c r="T483" s="135"/>
      <c r="U483" s="135"/>
      <c r="V483" s="135"/>
      <c r="W483" s="135"/>
      <c r="X483" s="135"/>
      <c r="Y483" s="135"/>
      <c r="Z483" s="135"/>
      <c r="AA483" s="135"/>
      <c r="AB483" s="135"/>
      <c r="AC483" s="135"/>
      <c r="AD483" s="135"/>
      <c r="AE483" s="135"/>
      <c r="AF483" s="135"/>
      <c r="AG483" s="135"/>
      <c r="AH483" s="135"/>
      <c r="AI483" s="135"/>
      <c r="AJ483" s="135"/>
      <c r="AK483" s="135"/>
      <c r="AL483" s="135"/>
      <c r="AM483" s="135"/>
      <c r="AN483" s="135"/>
      <c r="AO483" s="135"/>
      <c r="AP483" s="135"/>
      <c r="AQ483" s="135"/>
      <c r="AR483" s="135"/>
      <c r="AS483" s="135"/>
      <c r="AT483" s="135"/>
      <c r="AU483" s="135"/>
      <c r="AV483" s="135"/>
      <c r="AW483" s="135"/>
      <c r="AX483" s="135"/>
      <c r="AY483" s="135"/>
      <c r="AZ483" s="135"/>
      <c r="BA483" s="135"/>
      <c r="BB483" s="135"/>
      <c r="BC483" s="135"/>
      <c r="BD483" s="135"/>
      <c r="BE483" s="135"/>
      <c r="BF483" s="135"/>
      <c r="BG483" s="135"/>
      <c r="BH483" s="135"/>
      <c r="BI483" s="135"/>
      <c r="BJ483" s="135"/>
      <c r="BK483" s="135"/>
      <c r="BL483" s="135"/>
      <c r="BM483" s="135"/>
      <c r="BN483" s="135"/>
      <c r="BO483" s="135"/>
      <c r="BP483" s="135"/>
      <c r="BQ483" s="135"/>
      <c r="BR483" s="135"/>
      <c r="BS483" s="135"/>
      <c r="BT483" s="135"/>
      <c r="BU483" s="135"/>
      <c r="BV483" s="135"/>
      <c r="BW483" s="135"/>
      <c r="BX483" s="135"/>
      <c r="BY483" s="135"/>
      <c r="BZ483" s="135"/>
      <c r="CA483" s="135"/>
      <c r="CB483" s="135"/>
      <c r="CC483" s="135"/>
      <c r="CD483" s="135"/>
      <c r="CE483" s="135"/>
      <c r="CF483" s="135"/>
      <c r="CG483" s="135"/>
      <c r="CH483" s="135"/>
      <c r="CI483" s="135"/>
      <c r="CJ483" s="135"/>
      <c r="CK483" s="135"/>
      <c r="CL483" s="135"/>
      <c r="CM483" s="135"/>
      <c r="CN483" s="135"/>
      <c r="CO483" s="135"/>
      <c r="CP483" s="135"/>
      <c r="CQ483" s="135"/>
      <c r="CR483" s="135"/>
      <c r="CS483" s="135"/>
      <c r="CT483" s="135"/>
      <c r="CU483" s="135"/>
      <c r="CV483" s="135"/>
      <c r="CW483" s="135"/>
      <c r="CX483" s="135"/>
      <c r="CY483" s="135"/>
      <c r="CZ483" s="135"/>
      <c r="DA483" s="135"/>
      <c r="DB483" s="135"/>
      <c r="DC483" s="135"/>
      <c r="DD483" s="135"/>
      <c r="DE483" s="135"/>
      <c r="DF483" s="135"/>
      <c r="DG483" s="135"/>
      <c r="DH483" s="135"/>
      <c r="DI483" s="135"/>
      <c r="DJ483" s="135"/>
      <c r="DK483" s="135"/>
      <c r="DL483" s="135"/>
      <c r="DM483" s="135"/>
      <c r="DN483" s="135"/>
      <c r="DO483" s="135"/>
      <c r="DP483" s="135"/>
      <c r="DQ483" s="135"/>
      <c r="DR483" s="135"/>
      <c r="DS483" s="135"/>
      <c r="DT483" s="135"/>
      <c r="DU483" s="135"/>
      <c r="DV483" s="135"/>
      <c r="DW483" s="135"/>
      <c r="DX483" s="135"/>
      <c r="DY483" s="135"/>
      <c r="DZ483" s="135"/>
      <c r="EA483" s="135"/>
      <c r="EB483" s="135"/>
      <c r="EC483" s="135"/>
      <c r="ED483" s="135"/>
      <c r="EE483" s="135"/>
      <c r="EF483" s="135"/>
      <c r="EG483" s="135"/>
      <c r="EH483" s="135"/>
      <c r="EI483" s="135"/>
      <c r="EJ483" s="135"/>
      <c r="EK483" s="135"/>
      <c r="EL483" s="135"/>
      <c r="EM483" s="135"/>
      <c r="EN483" s="135"/>
      <c r="EO483" s="135"/>
      <c r="EP483" s="135"/>
      <c r="EQ483" s="135"/>
      <c r="ER483" s="135"/>
      <c r="ES483" s="135"/>
      <c r="ET483" s="135"/>
      <c r="EU483" s="135"/>
      <c r="EV483" s="135"/>
      <c r="EW483" s="135"/>
    </row>
    <row r="484" spans="1:153" s="141" customFormat="1" x14ac:dyDescent="0.2">
      <c r="B484" s="134"/>
      <c r="C484" s="135"/>
      <c r="D484" s="136"/>
      <c r="E484" s="136"/>
      <c r="F484" s="137"/>
      <c r="G484" s="138"/>
      <c r="H484" s="138"/>
      <c r="I484" s="463"/>
      <c r="J484" s="134"/>
      <c r="K484" s="139"/>
      <c r="L484" s="140"/>
      <c r="N484" s="134"/>
      <c r="O484" s="134"/>
      <c r="P484" s="134"/>
      <c r="Q484" s="134"/>
      <c r="R484" s="140"/>
      <c r="S484" s="135"/>
      <c r="T484" s="135"/>
      <c r="U484" s="135"/>
      <c r="V484" s="135"/>
      <c r="W484" s="135"/>
      <c r="X484" s="135"/>
      <c r="Y484" s="135"/>
      <c r="Z484" s="135"/>
      <c r="AA484" s="135"/>
      <c r="AB484" s="135"/>
      <c r="AC484" s="135"/>
      <c r="AD484" s="135"/>
      <c r="AE484" s="135"/>
      <c r="AF484" s="135"/>
      <c r="AG484" s="135"/>
      <c r="AH484" s="135"/>
      <c r="AI484" s="135"/>
      <c r="AJ484" s="135"/>
      <c r="AK484" s="135"/>
      <c r="AL484" s="135"/>
      <c r="AM484" s="135"/>
      <c r="AN484" s="135"/>
      <c r="AO484" s="135"/>
      <c r="AP484" s="135"/>
      <c r="AQ484" s="135"/>
      <c r="AR484" s="135"/>
      <c r="AS484" s="135"/>
      <c r="AT484" s="135"/>
      <c r="AU484" s="135"/>
      <c r="AV484" s="135"/>
      <c r="AW484" s="135"/>
      <c r="AX484" s="135"/>
      <c r="AY484" s="135"/>
      <c r="AZ484" s="135"/>
      <c r="BA484" s="135"/>
      <c r="BB484" s="135"/>
      <c r="BC484" s="135"/>
      <c r="BD484" s="135"/>
      <c r="BE484" s="135"/>
      <c r="BF484" s="135"/>
      <c r="BG484" s="135"/>
      <c r="BH484" s="135"/>
      <c r="BI484" s="135"/>
      <c r="BJ484" s="135"/>
      <c r="BK484" s="135"/>
      <c r="BL484" s="135"/>
      <c r="BM484" s="135"/>
      <c r="BN484" s="135"/>
      <c r="BO484" s="135"/>
      <c r="BP484" s="135"/>
      <c r="BQ484" s="135"/>
      <c r="BR484" s="135"/>
      <c r="BS484" s="135"/>
      <c r="BT484" s="135"/>
      <c r="BU484" s="135"/>
      <c r="BV484" s="135"/>
      <c r="BW484" s="135"/>
      <c r="BX484" s="135"/>
      <c r="BY484" s="135"/>
      <c r="BZ484" s="135"/>
      <c r="CA484" s="135"/>
      <c r="CB484" s="135"/>
      <c r="CC484" s="135"/>
      <c r="CD484" s="135"/>
      <c r="CE484" s="135"/>
      <c r="CF484" s="135"/>
      <c r="CG484" s="135"/>
      <c r="CH484" s="135"/>
      <c r="CI484" s="135"/>
      <c r="CJ484" s="135"/>
      <c r="CK484" s="135"/>
      <c r="CL484" s="135"/>
      <c r="CM484" s="135"/>
      <c r="CN484" s="135"/>
      <c r="CO484" s="135"/>
      <c r="CP484" s="135"/>
      <c r="CQ484" s="135"/>
      <c r="CR484" s="135"/>
      <c r="CS484" s="135"/>
      <c r="CT484" s="135"/>
      <c r="CU484" s="135"/>
      <c r="CV484" s="135"/>
      <c r="CW484" s="135"/>
      <c r="CX484" s="135"/>
      <c r="CY484" s="135"/>
      <c r="CZ484" s="135"/>
      <c r="DA484" s="135"/>
      <c r="DB484" s="135"/>
      <c r="DC484" s="135"/>
      <c r="DD484" s="135"/>
      <c r="DE484" s="135"/>
      <c r="DF484" s="135"/>
      <c r="DG484" s="135"/>
      <c r="DH484" s="135"/>
      <c r="DI484" s="135"/>
      <c r="DJ484" s="135"/>
      <c r="DK484" s="135"/>
      <c r="DL484" s="135"/>
      <c r="DM484" s="135"/>
      <c r="DN484" s="135"/>
      <c r="DO484" s="135"/>
      <c r="DP484" s="135"/>
      <c r="DQ484" s="135"/>
      <c r="DR484" s="135"/>
      <c r="DS484" s="135"/>
      <c r="DT484" s="135"/>
      <c r="DU484" s="135"/>
      <c r="DV484" s="135"/>
      <c r="DW484" s="135"/>
      <c r="DX484" s="135"/>
      <c r="DY484" s="135"/>
      <c r="DZ484" s="135"/>
      <c r="EA484" s="135"/>
      <c r="EB484" s="135"/>
      <c r="EC484" s="135"/>
      <c r="ED484" s="135"/>
      <c r="EE484" s="135"/>
      <c r="EF484" s="135"/>
      <c r="EG484" s="135"/>
      <c r="EH484" s="135"/>
      <c r="EI484" s="135"/>
      <c r="EJ484" s="135"/>
      <c r="EK484" s="135"/>
      <c r="EL484" s="135"/>
      <c r="EM484" s="135"/>
      <c r="EN484" s="135"/>
      <c r="EO484" s="135"/>
      <c r="EP484" s="135"/>
      <c r="EQ484" s="135"/>
      <c r="ER484" s="135"/>
      <c r="ES484" s="135"/>
      <c r="ET484" s="135"/>
      <c r="EU484" s="135"/>
      <c r="EV484" s="135"/>
      <c r="EW484" s="135"/>
    </row>
    <row r="485" spans="1:153" s="141" customFormat="1" x14ac:dyDescent="0.2">
      <c r="B485" s="134"/>
      <c r="C485" s="135"/>
      <c r="D485" s="136"/>
      <c r="E485" s="136"/>
      <c r="F485" s="137"/>
      <c r="G485" s="138"/>
      <c r="H485" s="138"/>
      <c r="I485" s="463"/>
      <c r="J485" s="134"/>
      <c r="K485" s="139"/>
      <c r="L485" s="140"/>
      <c r="N485" s="134"/>
      <c r="O485" s="134"/>
      <c r="P485" s="134"/>
      <c r="Q485" s="134"/>
      <c r="R485" s="140"/>
      <c r="S485" s="135"/>
      <c r="T485" s="135"/>
      <c r="U485" s="135"/>
      <c r="V485" s="135"/>
      <c r="W485" s="135"/>
      <c r="X485" s="135"/>
      <c r="Y485" s="135"/>
      <c r="Z485" s="135"/>
      <c r="AA485" s="135"/>
      <c r="AB485" s="135"/>
      <c r="AC485" s="135"/>
      <c r="AD485" s="135"/>
      <c r="AE485" s="135"/>
      <c r="AF485" s="135"/>
      <c r="AG485" s="135"/>
      <c r="AH485" s="135"/>
      <c r="AI485" s="135"/>
      <c r="AJ485" s="135"/>
      <c r="AK485" s="135"/>
      <c r="AL485" s="135"/>
      <c r="AM485" s="135"/>
      <c r="AN485" s="135"/>
      <c r="AO485" s="135"/>
      <c r="AP485" s="135"/>
      <c r="AQ485" s="135"/>
      <c r="AR485" s="135"/>
      <c r="AS485" s="135"/>
      <c r="AT485" s="135"/>
      <c r="AU485" s="135"/>
      <c r="AV485" s="135"/>
      <c r="AW485" s="135"/>
      <c r="AX485" s="135"/>
      <c r="AY485" s="135"/>
      <c r="AZ485" s="135"/>
      <c r="BA485" s="135"/>
      <c r="BB485" s="135"/>
      <c r="BC485" s="135"/>
      <c r="BD485" s="135"/>
      <c r="BE485" s="135"/>
      <c r="BF485" s="135"/>
      <c r="BG485" s="135"/>
      <c r="BH485" s="135"/>
      <c r="BI485" s="135"/>
      <c r="BJ485" s="135"/>
      <c r="BK485" s="135"/>
      <c r="BL485" s="135"/>
      <c r="BM485" s="135"/>
      <c r="BN485" s="135"/>
      <c r="BO485" s="135"/>
      <c r="BP485" s="135"/>
      <c r="BQ485" s="135"/>
      <c r="BR485" s="135"/>
      <c r="BS485" s="135"/>
      <c r="BT485" s="135"/>
      <c r="BU485" s="135"/>
      <c r="BV485" s="135"/>
      <c r="BW485" s="135"/>
      <c r="BX485" s="135"/>
      <c r="BY485" s="135"/>
      <c r="BZ485" s="135"/>
      <c r="CA485" s="135"/>
      <c r="CB485" s="135"/>
      <c r="CC485" s="135"/>
      <c r="CD485" s="135"/>
      <c r="CE485" s="135"/>
      <c r="CF485" s="135"/>
      <c r="CG485" s="135"/>
      <c r="CH485" s="135"/>
      <c r="CI485" s="135"/>
      <c r="CJ485" s="135"/>
      <c r="CK485" s="135"/>
      <c r="CL485" s="135"/>
      <c r="CM485" s="135"/>
      <c r="CN485" s="135"/>
      <c r="CO485" s="135"/>
      <c r="CP485" s="135"/>
      <c r="CQ485" s="135"/>
      <c r="CR485" s="135"/>
      <c r="CS485" s="135"/>
      <c r="CT485" s="135"/>
      <c r="CU485" s="135"/>
      <c r="CV485" s="135"/>
      <c r="CW485" s="135"/>
      <c r="CX485" s="135"/>
      <c r="CY485" s="135"/>
      <c r="CZ485" s="135"/>
      <c r="DA485" s="135"/>
      <c r="DB485" s="135"/>
      <c r="DC485" s="135"/>
      <c r="DD485" s="135"/>
      <c r="DE485" s="135"/>
      <c r="DF485" s="135"/>
      <c r="DG485" s="135"/>
      <c r="DH485" s="135"/>
      <c r="DI485" s="135"/>
      <c r="DJ485" s="135"/>
      <c r="DK485" s="135"/>
      <c r="DL485" s="135"/>
      <c r="DM485" s="135"/>
      <c r="DN485" s="135"/>
      <c r="DO485" s="135"/>
      <c r="DP485" s="135"/>
      <c r="DQ485" s="135"/>
      <c r="DR485" s="135"/>
      <c r="DS485" s="135"/>
      <c r="DT485" s="135"/>
      <c r="DU485" s="135"/>
      <c r="DV485" s="135"/>
      <c r="DW485" s="135"/>
      <c r="DX485" s="135"/>
      <c r="DY485" s="135"/>
      <c r="DZ485" s="135"/>
      <c r="EA485" s="135"/>
      <c r="EB485" s="135"/>
      <c r="EC485" s="135"/>
      <c r="ED485" s="135"/>
      <c r="EE485" s="135"/>
      <c r="EF485" s="135"/>
      <c r="EG485" s="135"/>
      <c r="EH485" s="135"/>
      <c r="EI485" s="135"/>
      <c r="EJ485" s="135"/>
      <c r="EK485" s="135"/>
      <c r="EL485" s="135"/>
      <c r="EM485" s="135"/>
      <c r="EN485" s="135"/>
      <c r="EO485" s="135"/>
      <c r="EP485" s="135"/>
      <c r="EQ485" s="135"/>
      <c r="ER485" s="135"/>
      <c r="ES485" s="135"/>
      <c r="ET485" s="135"/>
      <c r="EU485" s="135"/>
      <c r="EV485" s="135"/>
      <c r="EW485" s="135"/>
    </row>
    <row r="486" spans="1:153" s="141" customFormat="1" x14ac:dyDescent="0.2">
      <c r="B486" s="134"/>
      <c r="C486" s="135"/>
      <c r="D486" s="136"/>
      <c r="E486" s="136"/>
      <c r="F486" s="137"/>
      <c r="G486" s="138"/>
      <c r="H486" s="138"/>
      <c r="I486" s="463"/>
      <c r="J486" s="134"/>
      <c r="K486" s="139"/>
      <c r="L486" s="140"/>
      <c r="N486" s="134"/>
      <c r="O486" s="134"/>
      <c r="P486" s="134"/>
      <c r="Q486" s="134"/>
      <c r="R486" s="140"/>
      <c r="S486" s="135"/>
      <c r="T486" s="135"/>
      <c r="U486" s="135"/>
      <c r="V486" s="135"/>
      <c r="W486" s="135"/>
      <c r="X486" s="135"/>
      <c r="Y486" s="135"/>
      <c r="Z486" s="135"/>
      <c r="AA486" s="135"/>
      <c r="AB486" s="135"/>
      <c r="AC486" s="135"/>
      <c r="AD486" s="135"/>
      <c r="AE486" s="135"/>
      <c r="AF486" s="135"/>
      <c r="AG486" s="135"/>
      <c r="AH486" s="135"/>
      <c r="AI486" s="135"/>
      <c r="AJ486" s="135"/>
      <c r="AK486" s="135"/>
      <c r="AL486" s="135"/>
      <c r="AM486" s="135"/>
      <c r="AN486" s="135"/>
      <c r="AO486" s="135"/>
      <c r="AP486" s="135"/>
      <c r="AQ486" s="135"/>
      <c r="AR486" s="135"/>
      <c r="AS486" s="135"/>
      <c r="AT486" s="135"/>
      <c r="AU486" s="135"/>
      <c r="AV486" s="135"/>
      <c r="AW486" s="135"/>
      <c r="AX486" s="135"/>
      <c r="AY486" s="135"/>
      <c r="AZ486" s="135"/>
      <c r="BA486" s="135"/>
      <c r="BB486" s="135"/>
      <c r="BC486" s="135"/>
      <c r="BD486" s="135"/>
      <c r="BE486" s="135"/>
      <c r="BF486" s="135"/>
      <c r="BG486" s="135"/>
      <c r="BH486" s="135"/>
      <c r="BI486" s="135"/>
      <c r="BJ486" s="135"/>
      <c r="BK486" s="135"/>
      <c r="BL486" s="135"/>
      <c r="BM486" s="135"/>
      <c r="BN486" s="135"/>
      <c r="BO486" s="135"/>
      <c r="BP486" s="135"/>
      <c r="BQ486" s="135"/>
      <c r="BR486" s="135"/>
      <c r="BS486" s="135"/>
      <c r="BT486" s="135"/>
      <c r="BU486" s="135"/>
      <c r="BV486" s="135"/>
      <c r="BW486" s="135"/>
      <c r="BX486" s="135"/>
      <c r="BY486" s="135"/>
      <c r="BZ486" s="135"/>
      <c r="CA486" s="135"/>
      <c r="CB486" s="135"/>
      <c r="CC486" s="135"/>
      <c r="CD486" s="135"/>
      <c r="CE486" s="135"/>
      <c r="CF486" s="135"/>
      <c r="CG486" s="135"/>
      <c r="CH486" s="135"/>
      <c r="CI486" s="135"/>
      <c r="CJ486" s="135"/>
      <c r="CK486" s="135"/>
      <c r="CL486" s="135"/>
      <c r="CM486" s="135"/>
      <c r="CN486" s="135"/>
      <c r="CO486" s="135"/>
      <c r="CP486" s="135"/>
      <c r="CQ486" s="135"/>
      <c r="CR486" s="135"/>
      <c r="CS486" s="135"/>
      <c r="CT486" s="135"/>
      <c r="CU486" s="135"/>
      <c r="CV486" s="135"/>
      <c r="CW486" s="135"/>
      <c r="CX486" s="135"/>
      <c r="CY486" s="135"/>
      <c r="CZ486" s="135"/>
      <c r="DA486" s="135"/>
      <c r="DB486" s="135"/>
      <c r="DC486" s="135"/>
      <c r="DD486" s="135"/>
      <c r="DE486" s="135"/>
      <c r="DF486" s="135"/>
      <c r="DG486" s="135"/>
      <c r="DH486" s="135"/>
      <c r="DI486" s="135"/>
      <c r="DJ486" s="135"/>
      <c r="DK486" s="135"/>
      <c r="DL486" s="135"/>
      <c r="DM486" s="135"/>
      <c r="DN486" s="135"/>
      <c r="DO486" s="135"/>
      <c r="DP486" s="135"/>
      <c r="DQ486" s="135"/>
      <c r="DR486" s="135"/>
      <c r="DS486" s="135"/>
      <c r="DT486" s="135"/>
      <c r="DU486" s="135"/>
      <c r="DV486" s="135"/>
      <c r="DW486" s="135"/>
      <c r="DX486" s="135"/>
      <c r="DY486" s="135"/>
      <c r="DZ486" s="135"/>
      <c r="EA486" s="135"/>
      <c r="EB486" s="135"/>
      <c r="EC486" s="135"/>
      <c r="ED486" s="135"/>
      <c r="EE486" s="135"/>
      <c r="EF486" s="135"/>
      <c r="EG486" s="135"/>
      <c r="EH486" s="135"/>
      <c r="EI486" s="135"/>
      <c r="EJ486" s="135"/>
      <c r="EK486" s="135"/>
      <c r="EL486" s="135"/>
      <c r="EM486" s="135"/>
      <c r="EN486" s="135"/>
      <c r="EO486" s="135"/>
      <c r="EP486" s="135"/>
      <c r="EQ486" s="135"/>
      <c r="ER486" s="135"/>
      <c r="ES486" s="135"/>
      <c r="ET486" s="135"/>
      <c r="EU486" s="135"/>
      <c r="EV486" s="135"/>
      <c r="EW486" s="135"/>
    </row>
    <row r="487" spans="1:153" s="141" customFormat="1" x14ac:dyDescent="0.2">
      <c r="B487" s="134"/>
      <c r="C487" s="135"/>
      <c r="D487" s="136"/>
      <c r="E487" s="136"/>
      <c r="F487" s="137"/>
      <c r="G487" s="138"/>
      <c r="H487" s="138"/>
      <c r="I487" s="463"/>
      <c r="J487" s="134"/>
      <c r="K487" s="139"/>
      <c r="L487" s="140"/>
      <c r="N487" s="134"/>
      <c r="O487" s="134"/>
      <c r="P487" s="134"/>
      <c r="Q487" s="134"/>
      <c r="R487" s="140"/>
      <c r="S487" s="135"/>
      <c r="T487" s="135"/>
      <c r="U487" s="135"/>
      <c r="V487" s="135"/>
      <c r="W487" s="135"/>
      <c r="X487" s="135"/>
      <c r="Y487" s="135"/>
      <c r="Z487" s="135"/>
      <c r="AA487" s="135"/>
      <c r="AB487" s="135"/>
      <c r="AC487" s="135"/>
      <c r="AD487" s="135"/>
      <c r="AE487" s="135"/>
      <c r="AF487" s="135"/>
      <c r="AG487" s="135"/>
      <c r="AH487" s="135"/>
      <c r="AI487" s="135"/>
      <c r="AJ487" s="135"/>
      <c r="AK487" s="135"/>
      <c r="AL487" s="135"/>
      <c r="AM487" s="135"/>
      <c r="AN487" s="135"/>
      <c r="AO487" s="135"/>
      <c r="AP487" s="135"/>
      <c r="AQ487" s="135"/>
      <c r="AR487" s="135"/>
      <c r="AS487" s="135"/>
      <c r="AT487" s="135"/>
      <c r="AU487" s="135"/>
      <c r="AV487" s="135"/>
      <c r="AW487" s="135"/>
      <c r="AX487" s="135"/>
      <c r="AY487" s="135"/>
      <c r="AZ487" s="135"/>
      <c r="BA487" s="135"/>
      <c r="BB487" s="135"/>
      <c r="BC487" s="135"/>
      <c r="BD487" s="135"/>
      <c r="BE487" s="135"/>
      <c r="BF487" s="135"/>
      <c r="BG487" s="135"/>
      <c r="BH487" s="135"/>
      <c r="BI487" s="135"/>
      <c r="BJ487" s="135"/>
      <c r="BK487" s="135"/>
      <c r="BL487" s="135"/>
      <c r="BM487" s="135"/>
      <c r="BN487" s="135"/>
      <c r="BO487" s="135"/>
      <c r="BP487" s="135"/>
      <c r="BQ487" s="135"/>
      <c r="BR487" s="135"/>
      <c r="BS487" s="135"/>
      <c r="BT487" s="135"/>
      <c r="BU487" s="135"/>
      <c r="BV487" s="135"/>
      <c r="BW487" s="135"/>
      <c r="BX487" s="135"/>
      <c r="BY487" s="135"/>
      <c r="BZ487" s="135"/>
      <c r="CA487" s="135"/>
      <c r="CB487" s="135"/>
      <c r="CC487" s="135"/>
      <c r="CD487" s="135"/>
      <c r="CE487" s="135"/>
      <c r="CF487" s="135"/>
      <c r="CG487" s="135"/>
      <c r="CH487" s="135"/>
      <c r="CI487" s="135"/>
      <c r="CJ487" s="135"/>
      <c r="CK487" s="135"/>
      <c r="CL487" s="135"/>
      <c r="CM487" s="135"/>
      <c r="CN487" s="135"/>
      <c r="CO487" s="135"/>
      <c r="CP487" s="135"/>
      <c r="CQ487" s="135"/>
      <c r="CR487" s="135"/>
      <c r="CS487" s="135"/>
      <c r="CT487" s="135"/>
      <c r="CU487" s="135"/>
      <c r="CV487" s="135"/>
      <c r="CW487" s="135"/>
      <c r="CX487" s="135"/>
      <c r="CY487" s="135"/>
      <c r="CZ487" s="135"/>
      <c r="DA487" s="135"/>
      <c r="DB487" s="135"/>
      <c r="DC487" s="135"/>
      <c r="DD487" s="135"/>
      <c r="DE487" s="135"/>
      <c r="DF487" s="135"/>
      <c r="DG487" s="135"/>
      <c r="DH487" s="135"/>
      <c r="DI487" s="135"/>
      <c r="DJ487" s="135"/>
      <c r="DK487" s="135"/>
      <c r="DL487" s="135"/>
      <c r="DM487" s="135"/>
      <c r="DN487" s="135"/>
      <c r="DO487" s="135"/>
      <c r="DP487" s="135"/>
      <c r="DQ487" s="135"/>
      <c r="DR487" s="135"/>
      <c r="DS487" s="135"/>
      <c r="DT487" s="135"/>
      <c r="DU487" s="135"/>
      <c r="DV487" s="135"/>
      <c r="DW487" s="135"/>
      <c r="DX487" s="135"/>
      <c r="DY487" s="135"/>
      <c r="DZ487" s="135"/>
      <c r="EA487" s="135"/>
      <c r="EB487" s="135"/>
      <c r="EC487" s="135"/>
      <c r="ED487" s="135"/>
      <c r="EE487" s="135"/>
      <c r="EF487" s="135"/>
      <c r="EG487" s="135"/>
      <c r="EH487" s="135"/>
      <c r="EI487" s="135"/>
      <c r="EJ487" s="135"/>
      <c r="EK487" s="135"/>
      <c r="EL487" s="135"/>
      <c r="EM487" s="135"/>
      <c r="EN487" s="135"/>
      <c r="EO487" s="135"/>
      <c r="EP487" s="135"/>
      <c r="EQ487" s="135"/>
      <c r="ER487" s="135"/>
      <c r="ES487" s="135"/>
      <c r="ET487" s="135"/>
      <c r="EU487" s="135"/>
      <c r="EV487" s="135"/>
      <c r="EW487" s="135"/>
    </row>
    <row r="488" spans="1:153" s="141" customFormat="1" x14ac:dyDescent="0.2">
      <c r="B488" s="134"/>
      <c r="C488" s="135"/>
      <c r="D488" s="136"/>
      <c r="E488" s="136"/>
      <c r="F488" s="137"/>
      <c r="G488" s="138"/>
      <c r="H488" s="138"/>
      <c r="I488" s="463"/>
      <c r="J488" s="134"/>
      <c r="K488" s="139"/>
      <c r="L488" s="140"/>
      <c r="N488" s="134"/>
      <c r="O488" s="134"/>
      <c r="P488" s="134"/>
      <c r="Q488" s="134"/>
      <c r="R488" s="140"/>
      <c r="S488" s="135"/>
      <c r="T488" s="135"/>
      <c r="U488" s="135"/>
      <c r="V488" s="135"/>
      <c r="W488" s="135"/>
      <c r="X488" s="135"/>
      <c r="Y488" s="135"/>
      <c r="Z488" s="135"/>
      <c r="AA488" s="135"/>
      <c r="AB488" s="135"/>
      <c r="AC488" s="135"/>
      <c r="AD488" s="135"/>
      <c r="AE488" s="135"/>
      <c r="AF488" s="135"/>
      <c r="AG488" s="135"/>
      <c r="AH488" s="135"/>
      <c r="AI488" s="135"/>
      <c r="AJ488" s="135"/>
      <c r="AK488" s="135"/>
      <c r="AL488" s="135"/>
      <c r="AM488" s="135"/>
      <c r="AN488" s="135"/>
      <c r="AO488" s="135"/>
      <c r="AP488" s="135"/>
      <c r="AQ488" s="135"/>
      <c r="AR488" s="135"/>
      <c r="AS488" s="135"/>
      <c r="AT488" s="135"/>
      <c r="AU488" s="135"/>
      <c r="AV488" s="135"/>
      <c r="AW488" s="135"/>
      <c r="AX488" s="135"/>
      <c r="AY488" s="135"/>
      <c r="AZ488" s="135"/>
      <c r="BA488" s="135"/>
      <c r="BB488" s="135"/>
      <c r="BC488" s="135"/>
      <c r="BD488" s="135"/>
      <c r="BE488" s="135"/>
      <c r="BF488" s="135"/>
      <c r="BG488" s="135"/>
      <c r="BH488" s="135"/>
      <c r="BI488" s="135"/>
      <c r="BJ488" s="135"/>
      <c r="BK488" s="135"/>
      <c r="BL488" s="135"/>
      <c r="BM488" s="135"/>
      <c r="BN488" s="135"/>
      <c r="BO488" s="135"/>
      <c r="BP488" s="135"/>
      <c r="BQ488" s="135"/>
      <c r="BR488" s="135"/>
      <c r="BS488" s="135"/>
      <c r="BT488" s="135"/>
      <c r="BU488" s="135"/>
      <c r="BV488" s="135"/>
      <c r="BW488" s="135"/>
      <c r="BX488" s="135"/>
      <c r="BY488" s="135"/>
      <c r="BZ488" s="135"/>
      <c r="CA488" s="135"/>
      <c r="CB488" s="135"/>
      <c r="CC488" s="135"/>
      <c r="CD488" s="135"/>
      <c r="CE488" s="135"/>
      <c r="CF488" s="135"/>
      <c r="CG488" s="135"/>
      <c r="CH488" s="135"/>
      <c r="CI488" s="135"/>
      <c r="CJ488" s="135"/>
      <c r="CK488" s="135"/>
      <c r="CL488" s="135"/>
      <c r="CM488" s="135"/>
      <c r="CN488" s="135"/>
      <c r="CO488" s="135"/>
      <c r="CP488" s="135"/>
      <c r="CQ488" s="135"/>
      <c r="CR488" s="135"/>
      <c r="CS488" s="135"/>
      <c r="CT488" s="135"/>
      <c r="CU488" s="135"/>
      <c r="CV488" s="135"/>
      <c r="CW488" s="135"/>
      <c r="CX488" s="135"/>
      <c r="CY488" s="135"/>
      <c r="CZ488" s="135"/>
      <c r="DA488" s="135"/>
      <c r="DB488" s="135"/>
      <c r="DC488" s="135"/>
      <c r="DD488" s="135"/>
      <c r="DE488" s="135"/>
      <c r="DF488" s="135"/>
      <c r="DG488" s="135"/>
      <c r="DH488" s="135"/>
      <c r="DI488" s="135"/>
      <c r="DJ488" s="135"/>
      <c r="DK488" s="135"/>
      <c r="DL488" s="135"/>
      <c r="DM488" s="135"/>
      <c r="DN488" s="135"/>
      <c r="DO488" s="135"/>
      <c r="DP488" s="135"/>
      <c r="DQ488" s="135"/>
      <c r="DR488" s="135"/>
      <c r="DS488" s="135"/>
      <c r="DT488" s="135"/>
      <c r="DU488" s="135"/>
      <c r="DV488" s="135"/>
      <c r="DW488" s="135"/>
      <c r="DX488" s="135"/>
      <c r="DY488" s="135"/>
      <c r="DZ488" s="135"/>
      <c r="EA488" s="135"/>
      <c r="EB488" s="135"/>
      <c r="EC488" s="135"/>
      <c r="ED488" s="135"/>
      <c r="EE488" s="135"/>
      <c r="EF488" s="135"/>
      <c r="EG488" s="135"/>
      <c r="EH488" s="135"/>
      <c r="EI488" s="135"/>
      <c r="EJ488" s="135"/>
      <c r="EK488" s="135"/>
      <c r="EL488" s="135"/>
      <c r="EM488" s="135"/>
      <c r="EN488" s="135"/>
      <c r="EO488" s="135"/>
      <c r="EP488" s="135"/>
      <c r="EQ488" s="135"/>
      <c r="ER488" s="135"/>
      <c r="ES488" s="135"/>
      <c r="ET488" s="135"/>
      <c r="EU488" s="135"/>
      <c r="EV488" s="135"/>
      <c r="EW488" s="135"/>
    </row>
    <row r="489" spans="1:153" s="141" customFormat="1" x14ac:dyDescent="0.2">
      <c r="B489" s="134"/>
      <c r="C489" s="135"/>
      <c r="D489" s="136"/>
      <c r="E489" s="136"/>
      <c r="F489" s="137"/>
      <c r="G489" s="138"/>
      <c r="H489" s="138"/>
      <c r="I489" s="463"/>
      <c r="J489" s="134"/>
      <c r="K489" s="139"/>
      <c r="L489" s="140"/>
      <c r="N489" s="134"/>
      <c r="O489" s="134"/>
      <c r="P489" s="134"/>
      <c r="Q489" s="134"/>
      <c r="R489" s="140"/>
      <c r="S489" s="135"/>
      <c r="T489" s="135"/>
      <c r="U489" s="135"/>
      <c r="V489" s="135"/>
      <c r="W489" s="135"/>
      <c r="X489" s="135"/>
      <c r="Y489" s="135"/>
      <c r="Z489" s="135"/>
      <c r="AA489" s="135"/>
      <c r="AB489" s="135"/>
      <c r="AC489" s="135"/>
      <c r="AD489" s="135"/>
      <c r="AE489" s="135"/>
      <c r="AF489" s="135"/>
      <c r="AG489" s="135"/>
      <c r="AH489" s="135"/>
      <c r="AI489" s="135"/>
      <c r="AJ489" s="135"/>
      <c r="AK489" s="135"/>
      <c r="AL489" s="135"/>
      <c r="AM489" s="135"/>
      <c r="AN489" s="135"/>
      <c r="AO489" s="135"/>
      <c r="AP489" s="135"/>
      <c r="AQ489" s="135"/>
      <c r="AR489" s="135"/>
      <c r="AS489" s="135"/>
      <c r="AT489" s="135"/>
      <c r="AU489" s="135"/>
      <c r="AV489" s="135"/>
      <c r="AW489" s="135"/>
      <c r="AX489" s="135"/>
      <c r="AY489" s="135"/>
      <c r="AZ489" s="135"/>
      <c r="BA489" s="135"/>
      <c r="BB489" s="135"/>
      <c r="BC489" s="135"/>
      <c r="BD489" s="135"/>
      <c r="BE489" s="135"/>
      <c r="BF489" s="135"/>
      <c r="BG489" s="135"/>
      <c r="BH489" s="135"/>
      <c r="BI489" s="135"/>
      <c r="BJ489" s="135"/>
      <c r="BK489" s="135"/>
      <c r="BL489" s="135"/>
      <c r="BM489" s="135"/>
      <c r="BN489" s="135"/>
      <c r="BO489" s="135"/>
      <c r="BP489" s="135"/>
      <c r="BQ489" s="135"/>
      <c r="BR489" s="135"/>
      <c r="BS489" s="135"/>
      <c r="BT489" s="135"/>
      <c r="BU489" s="135"/>
      <c r="BV489" s="135"/>
      <c r="BW489" s="135"/>
      <c r="BX489" s="135"/>
      <c r="BY489" s="135"/>
      <c r="BZ489" s="135"/>
      <c r="CA489" s="135"/>
      <c r="CB489" s="135"/>
      <c r="CC489" s="135"/>
      <c r="CD489" s="135"/>
      <c r="CE489" s="135"/>
      <c r="CF489" s="135"/>
      <c r="CG489" s="135"/>
      <c r="CH489" s="135"/>
      <c r="CI489" s="135"/>
      <c r="CJ489" s="135"/>
      <c r="CK489" s="135"/>
      <c r="CL489" s="135"/>
      <c r="CM489" s="135"/>
      <c r="CN489" s="135"/>
      <c r="CO489" s="135"/>
      <c r="CP489" s="135"/>
      <c r="CQ489" s="135"/>
      <c r="CR489" s="135"/>
      <c r="CS489" s="135"/>
      <c r="CT489" s="135"/>
      <c r="CU489" s="135"/>
      <c r="CV489" s="135"/>
      <c r="CW489" s="135"/>
      <c r="CX489" s="135"/>
      <c r="CY489" s="135"/>
      <c r="CZ489" s="135"/>
      <c r="DA489" s="135"/>
      <c r="DB489" s="135"/>
      <c r="DC489" s="135"/>
      <c r="DD489" s="135"/>
      <c r="DE489" s="135"/>
      <c r="DF489" s="135"/>
      <c r="DG489" s="135"/>
      <c r="DH489" s="135"/>
      <c r="DI489" s="135"/>
      <c r="DJ489" s="135"/>
      <c r="DK489" s="135"/>
      <c r="DL489" s="135"/>
      <c r="DM489" s="135"/>
      <c r="DN489" s="135"/>
      <c r="DO489" s="135"/>
      <c r="DP489" s="135"/>
      <c r="DQ489" s="135"/>
      <c r="DR489" s="135"/>
      <c r="DS489" s="135"/>
      <c r="DT489" s="135"/>
      <c r="DU489" s="135"/>
      <c r="DV489" s="135"/>
      <c r="DW489" s="135"/>
      <c r="DX489" s="135"/>
      <c r="DY489" s="135"/>
      <c r="DZ489" s="135"/>
      <c r="EA489" s="135"/>
      <c r="EB489" s="135"/>
      <c r="EC489" s="135"/>
      <c r="ED489" s="135"/>
      <c r="EE489" s="135"/>
      <c r="EF489" s="135"/>
      <c r="EG489" s="135"/>
      <c r="EH489" s="135"/>
      <c r="EI489" s="135"/>
      <c r="EJ489" s="135"/>
      <c r="EK489" s="135"/>
      <c r="EL489" s="135"/>
      <c r="EM489" s="135"/>
      <c r="EN489" s="135"/>
      <c r="EO489" s="135"/>
      <c r="EP489" s="135"/>
      <c r="EQ489" s="135"/>
      <c r="ER489" s="135"/>
      <c r="ES489" s="135"/>
      <c r="ET489" s="135"/>
      <c r="EU489" s="135"/>
      <c r="EV489" s="135"/>
      <c r="EW489" s="135"/>
    </row>
    <row r="490" spans="1:153" s="141" customFormat="1" x14ac:dyDescent="0.2">
      <c r="B490" s="134"/>
      <c r="C490" s="135"/>
      <c r="D490" s="136"/>
      <c r="E490" s="136"/>
      <c r="F490" s="137"/>
      <c r="G490" s="138"/>
      <c r="H490" s="138"/>
      <c r="I490" s="463"/>
      <c r="J490" s="134"/>
      <c r="K490" s="139"/>
      <c r="L490" s="140"/>
      <c r="N490" s="134"/>
      <c r="O490" s="134"/>
      <c r="P490" s="134"/>
      <c r="Q490" s="134"/>
      <c r="R490" s="140"/>
      <c r="S490" s="135"/>
      <c r="T490" s="135"/>
      <c r="U490" s="135"/>
      <c r="V490" s="135"/>
      <c r="W490" s="135"/>
      <c r="X490" s="135"/>
      <c r="Y490" s="135"/>
      <c r="Z490" s="135"/>
      <c r="AA490" s="135"/>
      <c r="AB490" s="135"/>
      <c r="AC490" s="135"/>
      <c r="AD490" s="135"/>
      <c r="AE490" s="135"/>
      <c r="AF490" s="135"/>
      <c r="AG490" s="135"/>
      <c r="AH490" s="135"/>
      <c r="AI490" s="135"/>
      <c r="AJ490" s="135"/>
      <c r="AK490" s="135"/>
      <c r="AL490" s="135"/>
      <c r="AM490" s="135"/>
      <c r="AN490" s="135"/>
      <c r="AO490" s="135"/>
      <c r="AP490" s="135"/>
      <c r="AQ490" s="135"/>
      <c r="AR490" s="135"/>
      <c r="AS490" s="135"/>
      <c r="AT490" s="135"/>
      <c r="AU490" s="135"/>
      <c r="AV490" s="135"/>
      <c r="AW490" s="135"/>
      <c r="AX490" s="135"/>
      <c r="AY490" s="135"/>
      <c r="AZ490" s="135"/>
      <c r="BA490" s="135"/>
      <c r="BB490" s="135"/>
      <c r="BC490" s="135"/>
      <c r="BD490" s="135"/>
      <c r="BE490" s="135"/>
      <c r="BF490" s="135"/>
      <c r="BG490" s="135"/>
      <c r="BH490" s="135"/>
      <c r="BI490" s="135"/>
      <c r="BJ490" s="135"/>
      <c r="BK490" s="135"/>
      <c r="BL490" s="135"/>
      <c r="BM490" s="135"/>
      <c r="BN490" s="135"/>
      <c r="BO490" s="135"/>
      <c r="BP490" s="135"/>
      <c r="BQ490" s="135"/>
      <c r="BR490" s="135"/>
      <c r="BS490" s="135"/>
      <c r="BT490" s="135"/>
      <c r="BU490" s="135"/>
      <c r="BV490" s="135"/>
      <c r="BW490" s="135"/>
      <c r="BX490" s="135"/>
      <c r="BY490" s="135"/>
      <c r="BZ490" s="135"/>
      <c r="CA490" s="135"/>
      <c r="CB490" s="135"/>
      <c r="CC490" s="135"/>
      <c r="CD490" s="135"/>
      <c r="CE490" s="135"/>
      <c r="CF490" s="135"/>
      <c r="CG490" s="135"/>
      <c r="CH490" s="135"/>
      <c r="CI490" s="135"/>
      <c r="CJ490" s="135"/>
      <c r="CK490" s="135"/>
      <c r="CL490" s="135"/>
      <c r="CM490" s="135"/>
      <c r="CN490" s="135"/>
      <c r="CO490" s="135"/>
      <c r="CP490" s="135"/>
      <c r="CQ490" s="135"/>
      <c r="CR490" s="135"/>
      <c r="CS490" s="135"/>
      <c r="CT490" s="135"/>
      <c r="CU490" s="135"/>
      <c r="CV490" s="135"/>
      <c r="CW490" s="135"/>
      <c r="CX490" s="135"/>
      <c r="CY490" s="135"/>
      <c r="CZ490" s="135"/>
      <c r="DA490" s="135"/>
      <c r="DB490" s="135"/>
      <c r="DC490" s="135"/>
      <c r="DD490" s="135"/>
      <c r="DE490" s="135"/>
      <c r="DF490" s="135"/>
      <c r="DG490" s="135"/>
      <c r="DH490" s="135"/>
      <c r="DI490" s="135"/>
      <c r="DJ490" s="135"/>
      <c r="DK490" s="135"/>
      <c r="DL490" s="135"/>
      <c r="DM490" s="135"/>
      <c r="DN490" s="135"/>
      <c r="DO490" s="135"/>
      <c r="DP490" s="135"/>
      <c r="DQ490" s="135"/>
      <c r="DR490" s="135"/>
      <c r="DS490" s="135"/>
      <c r="DT490" s="135"/>
      <c r="DU490" s="135"/>
      <c r="DV490" s="135"/>
      <c r="DW490" s="135"/>
      <c r="DX490" s="135"/>
      <c r="DY490" s="135"/>
      <c r="DZ490" s="135"/>
      <c r="EA490" s="135"/>
      <c r="EB490" s="135"/>
      <c r="EC490" s="135"/>
      <c r="ED490" s="135"/>
      <c r="EE490" s="135"/>
      <c r="EF490" s="135"/>
      <c r="EG490" s="135"/>
      <c r="EH490" s="135"/>
      <c r="EI490" s="135"/>
      <c r="EJ490" s="135"/>
      <c r="EK490" s="135"/>
      <c r="EL490" s="135"/>
      <c r="EM490" s="135"/>
      <c r="EN490" s="135"/>
      <c r="EO490" s="135"/>
      <c r="EP490" s="135"/>
      <c r="EQ490" s="135"/>
      <c r="ER490" s="135"/>
      <c r="ES490" s="135"/>
      <c r="ET490" s="135"/>
      <c r="EU490" s="135"/>
      <c r="EV490" s="135"/>
      <c r="EW490" s="135"/>
    </row>
    <row r="491" spans="1:153" s="141" customFormat="1" x14ac:dyDescent="0.2">
      <c r="B491" s="134"/>
      <c r="C491" s="135"/>
      <c r="D491" s="136"/>
      <c r="E491" s="136"/>
      <c r="F491" s="137"/>
      <c r="G491" s="138"/>
      <c r="H491" s="138"/>
      <c r="I491" s="463"/>
      <c r="J491" s="134"/>
      <c r="K491" s="139"/>
      <c r="L491" s="140"/>
      <c r="N491" s="134"/>
      <c r="O491" s="134"/>
      <c r="P491" s="134"/>
      <c r="Q491" s="134"/>
      <c r="R491" s="140"/>
      <c r="S491" s="135"/>
      <c r="T491" s="135"/>
      <c r="U491" s="135"/>
      <c r="V491" s="135"/>
      <c r="W491" s="135"/>
      <c r="X491" s="135"/>
      <c r="Y491" s="135"/>
      <c r="Z491" s="135"/>
      <c r="AA491" s="135"/>
      <c r="AB491" s="135"/>
      <c r="AC491" s="135"/>
      <c r="AD491" s="135"/>
      <c r="AE491" s="135"/>
      <c r="AF491" s="135"/>
      <c r="AG491" s="135"/>
      <c r="AH491" s="135"/>
      <c r="AI491" s="135"/>
      <c r="AJ491" s="135"/>
      <c r="AK491" s="135"/>
      <c r="AL491" s="135"/>
      <c r="AM491" s="135"/>
      <c r="AN491" s="135"/>
      <c r="AO491" s="135"/>
      <c r="AP491" s="135"/>
      <c r="AQ491" s="135"/>
      <c r="AR491" s="135"/>
      <c r="AS491" s="135"/>
      <c r="AT491" s="135"/>
      <c r="AU491" s="135"/>
      <c r="AV491" s="135"/>
      <c r="AW491" s="135"/>
      <c r="AX491" s="135"/>
      <c r="AY491" s="135"/>
      <c r="AZ491" s="135"/>
      <c r="BA491" s="135"/>
      <c r="BB491" s="135"/>
      <c r="BC491" s="135"/>
      <c r="BD491" s="135"/>
      <c r="BE491" s="135"/>
      <c r="BF491" s="135"/>
      <c r="BG491" s="135"/>
      <c r="BH491" s="135"/>
      <c r="BI491" s="135"/>
      <c r="BJ491" s="135"/>
      <c r="BK491" s="135"/>
      <c r="BL491" s="135"/>
      <c r="BM491" s="135"/>
      <c r="BN491" s="135"/>
      <c r="BO491" s="135"/>
      <c r="BP491" s="135"/>
      <c r="BQ491" s="135"/>
      <c r="BR491" s="135"/>
      <c r="BS491" s="135"/>
      <c r="BT491" s="135"/>
      <c r="BU491" s="135"/>
      <c r="BV491" s="135"/>
      <c r="BW491" s="135"/>
      <c r="BX491" s="135"/>
      <c r="BY491" s="135"/>
      <c r="BZ491" s="135"/>
      <c r="CA491" s="135"/>
      <c r="CB491" s="135"/>
      <c r="CC491" s="135"/>
      <c r="CD491" s="135"/>
      <c r="CE491" s="135"/>
      <c r="CF491" s="135"/>
      <c r="CG491" s="135"/>
      <c r="CH491" s="135"/>
      <c r="CI491" s="135"/>
      <c r="CJ491" s="135"/>
      <c r="CK491" s="135"/>
      <c r="CL491" s="135"/>
      <c r="CM491" s="135"/>
      <c r="CN491" s="135"/>
      <c r="CO491" s="135"/>
      <c r="CP491" s="135"/>
      <c r="CQ491" s="135"/>
      <c r="CR491" s="135"/>
      <c r="CS491" s="135"/>
      <c r="CT491" s="135"/>
      <c r="CU491" s="135"/>
      <c r="CV491" s="135"/>
      <c r="CW491" s="135"/>
      <c r="CX491" s="135"/>
      <c r="CY491" s="135"/>
      <c r="CZ491" s="135"/>
      <c r="DA491" s="135"/>
      <c r="DB491" s="135"/>
      <c r="DC491" s="135"/>
      <c r="DD491" s="135"/>
      <c r="DE491" s="135"/>
      <c r="DF491" s="135"/>
      <c r="DG491" s="135"/>
      <c r="DH491" s="135"/>
      <c r="DI491" s="135"/>
      <c r="DJ491" s="135"/>
      <c r="DK491" s="135"/>
      <c r="DL491" s="135"/>
      <c r="DM491" s="135"/>
      <c r="DN491" s="135"/>
      <c r="DO491" s="135"/>
      <c r="DP491" s="135"/>
      <c r="DQ491" s="135"/>
      <c r="DR491" s="135"/>
      <c r="DS491" s="135"/>
      <c r="DT491" s="135"/>
      <c r="DU491" s="135"/>
      <c r="DV491" s="135"/>
      <c r="DW491" s="135"/>
      <c r="DX491" s="135"/>
      <c r="DY491" s="135"/>
      <c r="DZ491" s="135"/>
      <c r="EA491" s="135"/>
      <c r="EB491" s="135"/>
      <c r="EC491" s="135"/>
      <c r="ED491" s="135"/>
      <c r="EE491" s="135"/>
      <c r="EF491" s="135"/>
      <c r="EG491" s="135"/>
      <c r="EH491" s="135"/>
      <c r="EI491" s="135"/>
      <c r="EJ491" s="135"/>
      <c r="EK491" s="135"/>
      <c r="EL491" s="135"/>
      <c r="EM491" s="135"/>
      <c r="EN491" s="135"/>
      <c r="EO491" s="135"/>
      <c r="EP491" s="135"/>
      <c r="EQ491" s="135"/>
      <c r="ER491" s="135"/>
      <c r="ES491" s="135"/>
      <c r="ET491" s="135"/>
      <c r="EU491" s="135"/>
      <c r="EV491" s="135"/>
      <c r="EW491" s="135"/>
    </row>
    <row r="492" spans="1:153" s="141" customFormat="1" x14ac:dyDescent="0.2">
      <c r="B492" s="134"/>
      <c r="C492" s="135"/>
      <c r="D492" s="136"/>
      <c r="E492" s="136"/>
      <c r="F492" s="137"/>
      <c r="G492" s="138"/>
      <c r="H492" s="138"/>
      <c r="I492" s="463"/>
      <c r="J492" s="134"/>
      <c r="K492" s="139"/>
      <c r="L492" s="140"/>
      <c r="N492" s="134"/>
      <c r="O492" s="134"/>
      <c r="P492" s="134"/>
      <c r="Q492" s="134"/>
      <c r="R492" s="140"/>
      <c r="S492" s="135"/>
      <c r="T492" s="135"/>
      <c r="U492" s="135"/>
      <c r="V492" s="135"/>
      <c r="W492" s="135"/>
      <c r="X492" s="135"/>
      <c r="Y492" s="135"/>
      <c r="Z492" s="135"/>
      <c r="AA492" s="135"/>
      <c r="AB492" s="135"/>
      <c r="AC492" s="135"/>
      <c r="AD492" s="135"/>
      <c r="AE492" s="135"/>
      <c r="AF492" s="135"/>
      <c r="AG492" s="135"/>
      <c r="AH492" s="135"/>
      <c r="AI492" s="135"/>
      <c r="AJ492" s="135"/>
      <c r="AK492" s="135"/>
      <c r="AL492" s="135"/>
      <c r="AM492" s="135"/>
      <c r="AN492" s="135"/>
      <c r="AO492" s="135"/>
      <c r="AP492" s="135"/>
      <c r="AQ492" s="135"/>
      <c r="AR492" s="135"/>
      <c r="AS492" s="135"/>
      <c r="AT492" s="135"/>
      <c r="AU492" s="135"/>
      <c r="AV492" s="135"/>
      <c r="AW492" s="135"/>
      <c r="AX492" s="135"/>
      <c r="AY492" s="135"/>
      <c r="AZ492" s="135"/>
      <c r="BA492" s="135"/>
      <c r="BB492" s="135"/>
      <c r="BC492" s="135"/>
      <c r="BD492" s="135"/>
      <c r="BE492" s="135"/>
      <c r="BF492" s="135"/>
      <c r="BG492" s="135"/>
      <c r="BH492" s="135"/>
      <c r="BI492" s="135"/>
      <c r="BJ492" s="135"/>
      <c r="BK492" s="135"/>
      <c r="BL492" s="135"/>
      <c r="BM492" s="135"/>
      <c r="BN492" s="135"/>
      <c r="BO492" s="135"/>
      <c r="BP492" s="135"/>
      <c r="BQ492" s="135"/>
      <c r="BR492" s="135"/>
      <c r="BS492" s="135"/>
      <c r="BT492" s="135"/>
      <c r="BU492" s="135"/>
      <c r="BV492" s="135"/>
      <c r="BW492" s="135"/>
      <c r="BX492" s="135"/>
      <c r="BY492" s="135"/>
      <c r="BZ492" s="135"/>
      <c r="CA492" s="135"/>
      <c r="CB492" s="135"/>
      <c r="CC492" s="135"/>
      <c r="CD492" s="135"/>
      <c r="CE492" s="135"/>
      <c r="CF492" s="135"/>
      <c r="CG492" s="135"/>
      <c r="CH492" s="135"/>
      <c r="CI492" s="135"/>
      <c r="CJ492" s="135"/>
      <c r="CK492" s="135"/>
      <c r="CL492" s="135"/>
      <c r="CM492" s="135"/>
      <c r="CN492" s="135"/>
      <c r="CO492" s="135"/>
      <c r="CP492" s="135"/>
      <c r="CQ492" s="135"/>
      <c r="CR492" s="135"/>
      <c r="CS492" s="135"/>
      <c r="CT492" s="135"/>
      <c r="CU492" s="135"/>
      <c r="CV492" s="135"/>
      <c r="CW492" s="135"/>
      <c r="CX492" s="135"/>
      <c r="CY492" s="135"/>
      <c r="CZ492" s="135"/>
      <c r="DA492" s="135"/>
      <c r="DB492" s="135"/>
      <c r="DC492" s="135"/>
      <c r="DD492" s="135"/>
      <c r="DE492" s="135"/>
      <c r="DF492" s="135"/>
      <c r="DG492" s="135"/>
      <c r="DH492" s="135"/>
      <c r="DI492" s="135"/>
      <c r="DJ492" s="135"/>
      <c r="DK492" s="135"/>
      <c r="DL492" s="135"/>
      <c r="DM492" s="135"/>
      <c r="DN492" s="135"/>
      <c r="DO492" s="135"/>
      <c r="DP492" s="135"/>
      <c r="DQ492" s="135"/>
      <c r="DR492" s="135"/>
      <c r="DS492" s="135"/>
      <c r="DT492" s="135"/>
      <c r="DU492" s="135"/>
      <c r="DV492" s="135"/>
      <c r="DW492" s="135"/>
      <c r="DX492" s="135"/>
      <c r="DY492" s="135"/>
      <c r="DZ492" s="135"/>
      <c r="EA492" s="135"/>
      <c r="EB492" s="135"/>
      <c r="EC492" s="135"/>
      <c r="ED492" s="135"/>
      <c r="EE492" s="135"/>
      <c r="EF492" s="135"/>
      <c r="EG492" s="135"/>
      <c r="EH492" s="135"/>
      <c r="EI492" s="135"/>
      <c r="EJ492" s="135"/>
      <c r="EK492" s="135"/>
      <c r="EL492" s="135"/>
      <c r="EM492" s="135"/>
      <c r="EN492" s="135"/>
      <c r="EO492" s="135"/>
      <c r="EP492" s="135"/>
      <c r="EQ492" s="135"/>
      <c r="ER492" s="135"/>
      <c r="ES492" s="135"/>
      <c r="ET492" s="135"/>
      <c r="EU492" s="135"/>
      <c r="EV492" s="135"/>
      <c r="EW492" s="135"/>
    </row>
    <row r="493" spans="1:153" s="141" customFormat="1" x14ac:dyDescent="0.2">
      <c r="B493" s="134"/>
      <c r="C493" s="135"/>
      <c r="D493" s="136"/>
      <c r="E493" s="136"/>
      <c r="F493" s="137"/>
      <c r="G493" s="138"/>
      <c r="H493" s="138"/>
      <c r="I493" s="463"/>
      <c r="J493" s="134"/>
      <c r="K493" s="139"/>
      <c r="L493" s="140"/>
      <c r="N493" s="134"/>
      <c r="O493" s="134"/>
      <c r="P493" s="134"/>
      <c r="Q493" s="134"/>
      <c r="R493" s="140"/>
      <c r="S493" s="135"/>
      <c r="T493" s="135"/>
      <c r="U493" s="135"/>
      <c r="V493" s="135"/>
      <c r="W493" s="135"/>
      <c r="X493" s="135"/>
      <c r="Y493" s="135"/>
      <c r="Z493" s="135"/>
      <c r="AA493" s="135"/>
      <c r="AB493" s="135"/>
      <c r="AC493" s="135"/>
      <c r="AD493" s="135"/>
      <c r="AE493" s="135"/>
      <c r="AF493" s="135"/>
      <c r="AG493" s="135"/>
      <c r="AH493" s="135"/>
      <c r="AI493" s="135"/>
      <c r="AJ493" s="135"/>
      <c r="AK493" s="135"/>
      <c r="AL493" s="135"/>
      <c r="AM493" s="135"/>
      <c r="AN493" s="135"/>
      <c r="AO493" s="135"/>
      <c r="AP493" s="135"/>
      <c r="AQ493" s="135"/>
      <c r="AR493" s="135"/>
      <c r="AS493" s="135"/>
      <c r="AT493" s="135"/>
      <c r="AU493" s="135"/>
      <c r="AV493" s="135"/>
      <c r="AW493" s="135"/>
      <c r="AX493" s="135"/>
      <c r="AY493" s="135"/>
      <c r="AZ493" s="135"/>
      <c r="BA493" s="135"/>
      <c r="BB493" s="135"/>
      <c r="BC493" s="135"/>
      <c r="BD493" s="135"/>
      <c r="BE493" s="135"/>
      <c r="BF493" s="135"/>
      <c r="BG493" s="135"/>
      <c r="BH493" s="135"/>
      <c r="BI493" s="135"/>
      <c r="BJ493" s="135"/>
      <c r="BK493" s="135"/>
      <c r="BL493" s="135"/>
      <c r="BM493" s="135"/>
      <c r="BN493" s="135"/>
      <c r="BO493" s="135"/>
      <c r="BP493" s="135"/>
      <c r="BQ493" s="135"/>
      <c r="BR493" s="135"/>
      <c r="BS493" s="135"/>
      <c r="BT493" s="135"/>
      <c r="BU493" s="135"/>
      <c r="BV493" s="135"/>
      <c r="BW493" s="135"/>
      <c r="BX493" s="135"/>
      <c r="BY493" s="135"/>
      <c r="BZ493" s="135"/>
      <c r="CA493" s="135"/>
      <c r="CB493" s="135"/>
      <c r="CC493" s="135"/>
      <c r="CD493" s="135"/>
      <c r="CE493" s="135"/>
      <c r="CF493" s="135"/>
      <c r="CG493" s="135"/>
      <c r="CH493" s="135"/>
      <c r="CI493" s="135"/>
      <c r="CJ493" s="135"/>
      <c r="CK493" s="135"/>
      <c r="CL493" s="135"/>
      <c r="CM493" s="135"/>
      <c r="CN493" s="135"/>
      <c r="CO493" s="135"/>
      <c r="CP493" s="135"/>
      <c r="CQ493" s="135"/>
      <c r="CR493" s="135"/>
      <c r="CS493" s="135"/>
      <c r="CT493" s="135"/>
      <c r="CU493" s="135"/>
      <c r="CV493" s="135"/>
      <c r="CW493" s="135"/>
      <c r="CX493" s="135"/>
      <c r="CY493" s="135"/>
      <c r="CZ493" s="135"/>
      <c r="DA493" s="135"/>
      <c r="DB493" s="135"/>
      <c r="DC493" s="135"/>
      <c r="DD493" s="135"/>
      <c r="DE493" s="135"/>
      <c r="DF493" s="135"/>
      <c r="DG493" s="135"/>
      <c r="DH493" s="135"/>
      <c r="DI493" s="135"/>
      <c r="DJ493" s="135"/>
      <c r="DK493" s="135"/>
      <c r="DL493" s="135"/>
      <c r="DM493" s="135"/>
      <c r="DN493" s="135"/>
      <c r="DO493" s="135"/>
      <c r="DP493" s="135"/>
      <c r="DQ493" s="135"/>
      <c r="DR493" s="135"/>
      <c r="DS493" s="135"/>
      <c r="DT493" s="135"/>
      <c r="DU493" s="135"/>
      <c r="DV493" s="135"/>
      <c r="DW493" s="135"/>
      <c r="DX493" s="135"/>
      <c r="DY493" s="135"/>
      <c r="DZ493" s="135"/>
      <c r="EA493" s="135"/>
      <c r="EB493" s="135"/>
      <c r="EC493" s="135"/>
      <c r="ED493" s="135"/>
      <c r="EE493" s="135"/>
      <c r="EF493" s="135"/>
      <c r="EG493" s="135"/>
      <c r="EH493" s="135"/>
      <c r="EI493" s="135"/>
      <c r="EJ493" s="135"/>
      <c r="EK493" s="135"/>
      <c r="EL493" s="135"/>
      <c r="EM493" s="135"/>
      <c r="EN493" s="135"/>
      <c r="EO493" s="135"/>
      <c r="EP493" s="135"/>
      <c r="EQ493" s="135"/>
      <c r="ER493" s="135"/>
      <c r="ES493" s="135"/>
      <c r="ET493" s="135"/>
      <c r="EU493" s="135"/>
      <c r="EV493" s="135"/>
      <c r="EW493" s="135"/>
    </row>
    <row r="494" spans="1:153" s="141" customFormat="1" x14ac:dyDescent="0.2">
      <c r="B494" s="134"/>
      <c r="C494" s="135"/>
      <c r="D494" s="136"/>
      <c r="E494" s="136"/>
      <c r="F494" s="137"/>
      <c r="G494" s="138"/>
      <c r="H494" s="138"/>
      <c r="I494" s="463"/>
      <c r="J494" s="134"/>
      <c r="K494" s="139"/>
      <c r="L494" s="140"/>
      <c r="N494" s="134"/>
      <c r="O494" s="134"/>
      <c r="P494" s="134"/>
      <c r="Q494" s="134"/>
      <c r="R494" s="140"/>
      <c r="S494" s="135"/>
      <c r="T494" s="135"/>
      <c r="U494" s="135"/>
      <c r="V494" s="135"/>
      <c r="W494" s="135"/>
      <c r="X494" s="135"/>
      <c r="Y494" s="135"/>
      <c r="Z494" s="135"/>
      <c r="AA494" s="135"/>
      <c r="AB494" s="135"/>
      <c r="AC494" s="135"/>
      <c r="AD494" s="135"/>
      <c r="AE494" s="135"/>
      <c r="AF494" s="135"/>
      <c r="AG494" s="135"/>
      <c r="AH494" s="135"/>
      <c r="AI494" s="135"/>
      <c r="AJ494" s="135"/>
      <c r="AK494" s="135"/>
      <c r="AL494" s="135"/>
      <c r="AM494" s="135"/>
      <c r="AN494" s="135"/>
      <c r="AO494" s="135"/>
      <c r="AP494" s="135"/>
      <c r="AQ494" s="135"/>
      <c r="AR494" s="135"/>
      <c r="AS494" s="135"/>
      <c r="AT494" s="135"/>
      <c r="AU494" s="135"/>
      <c r="AV494" s="135"/>
      <c r="AW494" s="135"/>
      <c r="AX494" s="135"/>
      <c r="AY494" s="135"/>
      <c r="AZ494" s="135"/>
      <c r="BA494" s="135"/>
      <c r="BB494" s="135"/>
      <c r="BC494" s="135"/>
      <c r="BD494" s="135"/>
      <c r="BE494" s="135"/>
      <c r="BF494" s="135"/>
      <c r="BG494" s="135"/>
      <c r="BH494" s="135"/>
      <c r="BI494" s="135"/>
      <c r="BJ494" s="135"/>
      <c r="BK494" s="135"/>
      <c r="BL494" s="135"/>
      <c r="BM494" s="135"/>
      <c r="BN494" s="135"/>
      <c r="BO494" s="135"/>
      <c r="BP494" s="135"/>
      <c r="BQ494" s="135"/>
      <c r="BR494" s="135"/>
      <c r="BS494" s="135"/>
      <c r="BT494" s="135"/>
      <c r="BU494" s="135"/>
      <c r="BV494" s="135"/>
      <c r="BW494" s="135"/>
      <c r="BX494" s="135"/>
      <c r="BY494" s="135"/>
      <c r="BZ494" s="135"/>
      <c r="CA494" s="135"/>
      <c r="CB494" s="135"/>
      <c r="CC494" s="135"/>
      <c r="CD494" s="135"/>
      <c r="CE494" s="135"/>
      <c r="CF494" s="135"/>
      <c r="CG494" s="135"/>
      <c r="CH494" s="135"/>
      <c r="CI494" s="135"/>
      <c r="CJ494" s="135"/>
      <c r="CK494" s="135"/>
      <c r="CL494" s="135"/>
      <c r="CM494" s="135"/>
      <c r="CN494" s="135"/>
      <c r="CO494" s="135"/>
      <c r="CP494" s="135"/>
      <c r="CQ494" s="135"/>
      <c r="CR494" s="135"/>
      <c r="CS494" s="135"/>
      <c r="CT494" s="135"/>
      <c r="CU494" s="135"/>
      <c r="CV494" s="135"/>
      <c r="CW494" s="135"/>
      <c r="CX494" s="135"/>
      <c r="CY494" s="135"/>
      <c r="CZ494" s="135"/>
      <c r="DA494" s="135"/>
      <c r="DB494" s="135"/>
      <c r="DC494" s="135"/>
      <c r="DD494" s="135"/>
      <c r="DE494" s="135"/>
      <c r="DF494" s="135"/>
      <c r="DG494" s="135"/>
      <c r="DH494" s="135"/>
      <c r="DI494" s="135"/>
      <c r="DJ494" s="135"/>
      <c r="DK494" s="135"/>
      <c r="DL494" s="135"/>
      <c r="DM494" s="135"/>
      <c r="DN494" s="135"/>
      <c r="DO494" s="135"/>
      <c r="DP494" s="135"/>
      <c r="DQ494" s="135"/>
      <c r="DR494" s="135"/>
      <c r="DS494" s="135"/>
      <c r="DT494" s="135"/>
      <c r="DU494" s="135"/>
      <c r="DV494" s="135"/>
      <c r="DW494" s="135"/>
      <c r="DX494" s="135"/>
      <c r="DY494" s="135"/>
      <c r="DZ494" s="135"/>
      <c r="EA494" s="135"/>
      <c r="EB494" s="135"/>
      <c r="EC494" s="135"/>
      <c r="ED494" s="135"/>
      <c r="EE494" s="135"/>
      <c r="EF494" s="135"/>
      <c r="EG494" s="135"/>
      <c r="EH494" s="135"/>
      <c r="EI494" s="135"/>
      <c r="EJ494" s="135"/>
      <c r="EK494" s="135"/>
      <c r="EL494" s="135"/>
      <c r="EM494" s="135"/>
      <c r="EN494" s="135"/>
      <c r="EO494" s="135"/>
      <c r="EP494" s="135"/>
      <c r="EQ494" s="135"/>
      <c r="ER494" s="135"/>
      <c r="ES494" s="135"/>
      <c r="ET494" s="135"/>
      <c r="EU494" s="135"/>
      <c r="EV494" s="135"/>
      <c r="EW494" s="135"/>
    </row>
    <row r="495" spans="1:153" s="141" customFormat="1" x14ac:dyDescent="0.2">
      <c r="B495" s="134"/>
      <c r="C495" s="135"/>
      <c r="D495" s="136"/>
      <c r="E495" s="136"/>
      <c r="F495" s="137"/>
      <c r="G495" s="138"/>
      <c r="H495" s="138"/>
      <c r="I495" s="463"/>
      <c r="J495" s="134"/>
      <c r="K495" s="139"/>
      <c r="L495" s="140"/>
      <c r="N495" s="134"/>
      <c r="O495" s="134"/>
      <c r="P495" s="134"/>
      <c r="Q495" s="134"/>
      <c r="R495" s="140"/>
      <c r="S495" s="135"/>
      <c r="T495" s="135"/>
      <c r="U495" s="135"/>
      <c r="V495" s="135"/>
      <c r="W495" s="135"/>
      <c r="X495" s="135"/>
      <c r="Y495" s="135"/>
      <c r="Z495" s="135"/>
      <c r="AA495" s="135"/>
      <c r="AB495" s="135"/>
      <c r="AC495" s="135"/>
      <c r="AD495" s="135"/>
      <c r="AE495" s="135"/>
      <c r="AF495" s="135"/>
      <c r="AG495" s="135"/>
      <c r="AH495" s="135"/>
      <c r="AI495" s="135"/>
      <c r="AJ495" s="135"/>
      <c r="AK495" s="135"/>
      <c r="AL495" s="135"/>
      <c r="AM495" s="135"/>
      <c r="AN495" s="135"/>
      <c r="AO495" s="135"/>
      <c r="AP495" s="135"/>
      <c r="AQ495" s="135"/>
      <c r="AR495" s="135"/>
      <c r="AS495" s="135"/>
      <c r="AT495" s="135"/>
      <c r="AU495" s="135"/>
      <c r="AV495" s="135"/>
      <c r="AW495" s="135"/>
      <c r="AX495" s="135"/>
      <c r="AY495" s="135"/>
      <c r="AZ495" s="135"/>
      <c r="BA495" s="135"/>
      <c r="BB495" s="135"/>
      <c r="BC495" s="135"/>
      <c r="BD495" s="135"/>
      <c r="BE495" s="135"/>
      <c r="BF495" s="135"/>
      <c r="BG495" s="135"/>
      <c r="BH495" s="135"/>
      <c r="BI495" s="135"/>
      <c r="BJ495" s="135"/>
      <c r="BK495" s="135"/>
      <c r="BL495" s="135"/>
      <c r="BM495" s="135"/>
      <c r="BN495" s="135"/>
      <c r="BO495" s="135"/>
      <c r="BP495" s="135"/>
      <c r="BQ495" s="135"/>
      <c r="BR495" s="135"/>
      <c r="BS495" s="135"/>
      <c r="BT495" s="135"/>
      <c r="BU495" s="135"/>
      <c r="BV495" s="135"/>
      <c r="BW495" s="135"/>
      <c r="BX495" s="135"/>
      <c r="BY495" s="135"/>
      <c r="BZ495" s="135"/>
      <c r="CA495" s="135"/>
      <c r="CB495" s="135"/>
      <c r="CC495" s="135"/>
      <c r="CD495" s="135"/>
      <c r="CE495" s="135"/>
      <c r="CF495" s="135"/>
      <c r="CG495" s="135"/>
      <c r="CH495" s="135"/>
      <c r="CI495" s="135"/>
      <c r="CJ495" s="135"/>
      <c r="CK495" s="135"/>
      <c r="CL495" s="135"/>
      <c r="CM495" s="135"/>
      <c r="CN495" s="135"/>
      <c r="CO495" s="135"/>
      <c r="CP495" s="135"/>
      <c r="CQ495" s="135"/>
      <c r="CR495" s="135"/>
      <c r="CS495" s="135"/>
      <c r="CT495" s="135"/>
      <c r="CU495" s="135"/>
      <c r="CV495" s="135"/>
      <c r="CW495" s="135"/>
      <c r="CX495" s="135"/>
      <c r="CY495" s="135"/>
      <c r="CZ495" s="135"/>
      <c r="DA495" s="135"/>
      <c r="DB495" s="135"/>
      <c r="DC495" s="135"/>
      <c r="DD495" s="135"/>
      <c r="DE495" s="135"/>
      <c r="DF495" s="135"/>
      <c r="DG495" s="135"/>
      <c r="DH495" s="135"/>
      <c r="DI495" s="135"/>
      <c r="DJ495" s="135"/>
      <c r="DK495" s="135"/>
      <c r="DL495" s="135"/>
      <c r="DM495" s="135"/>
      <c r="DN495" s="135"/>
      <c r="DO495" s="135"/>
      <c r="DP495" s="135"/>
      <c r="DQ495" s="135"/>
      <c r="DR495" s="135"/>
      <c r="DS495" s="135"/>
      <c r="DT495" s="135"/>
      <c r="DU495" s="135"/>
      <c r="DV495" s="135"/>
      <c r="DW495" s="135"/>
      <c r="DX495" s="135"/>
      <c r="DY495" s="135"/>
      <c r="DZ495" s="135"/>
      <c r="EA495" s="135"/>
      <c r="EB495" s="135"/>
      <c r="EC495" s="135"/>
      <c r="ED495" s="135"/>
      <c r="EE495" s="135"/>
      <c r="EF495" s="135"/>
      <c r="EG495" s="135"/>
      <c r="EH495" s="135"/>
      <c r="EI495" s="135"/>
      <c r="EJ495" s="135"/>
      <c r="EK495" s="135"/>
      <c r="EL495" s="135"/>
      <c r="EM495" s="135"/>
      <c r="EN495" s="135"/>
      <c r="EO495" s="135"/>
      <c r="EP495" s="135"/>
      <c r="EQ495" s="135"/>
      <c r="ER495" s="135"/>
      <c r="ES495" s="135"/>
      <c r="ET495" s="135"/>
      <c r="EU495" s="135"/>
      <c r="EV495" s="135"/>
      <c r="EW495" s="135"/>
    </row>
    <row r="496" spans="1:153" s="141" customFormat="1" x14ac:dyDescent="0.2">
      <c r="B496" s="134"/>
      <c r="C496" s="135"/>
      <c r="D496" s="136"/>
      <c r="E496" s="136"/>
      <c r="F496" s="137"/>
      <c r="G496" s="138"/>
      <c r="H496" s="138"/>
      <c r="I496" s="463"/>
      <c r="J496" s="134"/>
      <c r="K496" s="139"/>
      <c r="L496" s="140"/>
      <c r="N496" s="134"/>
      <c r="O496" s="134"/>
      <c r="P496" s="134"/>
      <c r="Q496" s="134"/>
      <c r="R496" s="140"/>
      <c r="S496" s="135"/>
      <c r="T496" s="135"/>
      <c r="U496" s="135"/>
      <c r="V496" s="135"/>
      <c r="W496" s="135"/>
      <c r="X496" s="135"/>
      <c r="Y496" s="135"/>
      <c r="Z496" s="135"/>
      <c r="AA496" s="135"/>
      <c r="AB496" s="135"/>
      <c r="AC496" s="135"/>
      <c r="AD496" s="135"/>
      <c r="AE496" s="135"/>
      <c r="AF496" s="135"/>
      <c r="AG496" s="135"/>
      <c r="AH496" s="135"/>
      <c r="AI496" s="135"/>
      <c r="AJ496" s="135"/>
      <c r="AK496" s="135"/>
      <c r="AL496" s="135"/>
      <c r="AM496" s="135"/>
      <c r="AN496" s="135"/>
      <c r="AO496" s="135"/>
      <c r="AP496" s="135"/>
      <c r="AQ496" s="135"/>
      <c r="AR496" s="135"/>
      <c r="AS496" s="135"/>
      <c r="AT496" s="135"/>
      <c r="AU496" s="135"/>
      <c r="AV496" s="135"/>
      <c r="AW496" s="135"/>
      <c r="AX496" s="135"/>
      <c r="AY496" s="135"/>
      <c r="AZ496" s="135"/>
      <c r="BA496" s="135"/>
      <c r="BB496" s="135"/>
      <c r="BC496" s="135"/>
      <c r="BD496" s="135"/>
      <c r="BE496" s="135"/>
      <c r="BF496" s="135"/>
      <c r="BG496" s="135"/>
      <c r="BH496" s="135"/>
      <c r="BI496" s="135"/>
      <c r="BJ496" s="135"/>
      <c r="BK496" s="135"/>
      <c r="BL496" s="135"/>
      <c r="BM496" s="135"/>
      <c r="BN496" s="135"/>
      <c r="BO496" s="135"/>
      <c r="BP496" s="135"/>
      <c r="BQ496" s="135"/>
      <c r="BR496" s="135"/>
      <c r="BS496" s="135"/>
      <c r="BT496" s="135"/>
      <c r="BU496" s="135"/>
      <c r="BV496" s="135"/>
      <c r="BW496" s="135"/>
      <c r="BX496" s="135"/>
      <c r="BY496" s="135"/>
      <c r="BZ496" s="135"/>
      <c r="CA496" s="135"/>
      <c r="CB496" s="135"/>
      <c r="CC496" s="135"/>
      <c r="CD496" s="135"/>
      <c r="CE496" s="135"/>
      <c r="CF496" s="135"/>
      <c r="CG496" s="135"/>
      <c r="CH496" s="135"/>
      <c r="CI496" s="135"/>
      <c r="CJ496" s="135"/>
      <c r="CK496" s="135"/>
      <c r="CL496" s="135"/>
      <c r="CM496" s="135"/>
      <c r="CN496" s="135"/>
      <c r="CO496" s="135"/>
      <c r="CP496" s="135"/>
      <c r="CQ496" s="135"/>
      <c r="CR496" s="135"/>
      <c r="CS496" s="135"/>
      <c r="CT496" s="135"/>
      <c r="CU496" s="135"/>
      <c r="CV496" s="135"/>
      <c r="CW496" s="135"/>
      <c r="CX496" s="135"/>
      <c r="CY496" s="135"/>
      <c r="CZ496" s="135"/>
      <c r="DA496" s="135"/>
      <c r="DB496" s="135"/>
      <c r="DC496" s="135"/>
      <c r="DD496" s="135"/>
      <c r="DE496" s="135"/>
      <c r="DF496" s="135"/>
      <c r="DG496" s="135"/>
      <c r="DH496" s="135"/>
      <c r="DI496" s="135"/>
      <c r="DJ496" s="135"/>
      <c r="DK496" s="135"/>
      <c r="DL496" s="135"/>
      <c r="DM496" s="135"/>
      <c r="DN496" s="135"/>
      <c r="DO496" s="135"/>
      <c r="DP496" s="135"/>
      <c r="DQ496" s="135"/>
      <c r="DR496" s="135"/>
      <c r="DS496" s="135"/>
      <c r="DT496" s="135"/>
      <c r="DU496" s="135"/>
      <c r="DV496" s="135"/>
      <c r="DW496" s="135"/>
      <c r="DX496" s="135"/>
      <c r="DY496" s="135"/>
      <c r="DZ496" s="135"/>
      <c r="EA496" s="135"/>
      <c r="EB496" s="135"/>
      <c r="EC496" s="135"/>
      <c r="ED496" s="135"/>
      <c r="EE496" s="135"/>
      <c r="EF496" s="135"/>
      <c r="EG496" s="135"/>
      <c r="EH496" s="135"/>
      <c r="EI496" s="135"/>
      <c r="EJ496" s="135"/>
      <c r="EK496" s="135"/>
      <c r="EL496" s="135"/>
      <c r="EM496" s="135"/>
      <c r="EN496" s="135"/>
      <c r="EO496" s="135"/>
      <c r="EP496" s="135"/>
      <c r="EQ496" s="135"/>
      <c r="ER496" s="135"/>
      <c r="ES496" s="135"/>
      <c r="ET496" s="135"/>
      <c r="EU496" s="135"/>
      <c r="EV496" s="135"/>
      <c r="EW496" s="135"/>
    </row>
    <row r="497" spans="2:153" s="141" customFormat="1" x14ac:dyDescent="0.2">
      <c r="B497" s="134"/>
      <c r="C497" s="135"/>
      <c r="D497" s="136"/>
      <c r="E497" s="136"/>
      <c r="F497" s="137"/>
      <c r="G497" s="138"/>
      <c r="H497" s="138"/>
      <c r="I497" s="463"/>
      <c r="J497" s="134"/>
      <c r="K497" s="139"/>
      <c r="L497" s="140"/>
      <c r="N497" s="134"/>
      <c r="O497" s="134"/>
      <c r="P497" s="134"/>
      <c r="Q497" s="134"/>
      <c r="R497" s="140"/>
      <c r="S497" s="135"/>
      <c r="T497" s="135"/>
      <c r="U497" s="135"/>
      <c r="V497" s="135"/>
      <c r="W497" s="135"/>
      <c r="X497" s="135"/>
      <c r="Y497" s="135"/>
      <c r="Z497" s="135"/>
      <c r="AA497" s="135"/>
      <c r="AB497" s="135"/>
      <c r="AC497" s="135"/>
      <c r="AD497" s="135"/>
      <c r="AE497" s="135"/>
      <c r="AF497" s="135"/>
      <c r="AG497" s="135"/>
      <c r="AH497" s="135"/>
      <c r="AI497" s="135"/>
      <c r="AJ497" s="135"/>
      <c r="AK497" s="135"/>
      <c r="AL497" s="135"/>
      <c r="AM497" s="135"/>
      <c r="AN497" s="135"/>
      <c r="AO497" s="135"/>
      <c r="AP497" s="135"/>
      <c r="AQ497" s="135"/>
      <c r="AR497" s="135"/>
      <c r="AS497" s="135"/>
      <c r="AT497" s="135"/>
      <c r="AU497" s="135"/>
      <c r="AV497" s="135"/>
      <c r="AW497" s="135"/>
      <c r="AX497" s="135"/>
      <c r="AY497" s="135"/>
      <c r="AZ497" s="135"/>
      <c r="BA497" s="135"/>
      <c r="BB497" s="135"/>
      <c r="BC497" s="135"/>
      <c r="BD497" s="135"/>
      <c r="BE497" s="135"/>
      <c r="BF497" s="135"/>
      <c r="BG497" s="135"/>
      <c r="BH497" s="135"/>
      <c r="BI497" s="135"/>
      <c r="BJ497" s="135"/>
      <c r="BK497" s="135"/>
      <c r="BL497" s="135"/>
      <c r="BM497" s="135"/>
      <c r="BN497" s="135"/>
      <c r="BO497" s="135"/>
      <c r="BP497" s="135"/>
      <c r="BQ497" s="135"/>
      <c r="BR497" s="135"/>
      <c r="BS497" s="135"/>
      <c r="BT497" s="135"/>
      <c r="BU497" s="135"/>
      <c r="BV497" s="135"/>
      <c r="BW497" s="135"/>
      <c r="BX497" s="135"/>
      <c r="BY497" s="135"/>
      <c r="BZ497" s="135"/>
      <c r="CA497" s="135"/>
      <c r="CB497" s="135"/>
      <c r="CC497" s="135"/>
      <c r="CD497" s="135"/>
      <c r="CE497" s="135"/>
      <c r="CF497" s="135"/>
      <c r="CG497" s="135"/>
      <c r="CH497" s="135"/>
      <c r="CI497" s="135"/>
      <c r="CJ497" s="135"/>
      <c r="CK497" s="135"/>
      <c r="CL497" s="135"/>
      <c r="CM497" s="135"/>
      <c r="CN497" s="135"/>
      <c r="CO497" s="135"/>
      <c r="CP497" s="135"/>
      <c r="CQ497" s="135"/>
      <c r="CR497" s="135"/>
      <c r="CS497" s="135"/>
      <c r="CT497" s="135"/>
      <c r="CU497" s="135"/>
      <c r="CV497" s="135"/>
      <c r="CW497" s="135"/>
      <c r="CX497" s="135"/>
      <c r="CY497" s="135"/>
      <c r="CZ497" s="135"/>
      <c r="DA497" s="135"/>
      <c r="DB497" s="135"/>
      <c r="DC497" s="135"/>
      <c r="DD497" s="135"/>
      <c r="DE497" s="135"/>
      <c r="DF497" s="135"/>
      <c r="DG497" s="135"/>
      <c r="DH497" s="135"/>
      <c r="DI497" s="135"/>
      <c r="DJ497" s="135"/>
      <c r="DK497" s="135"/>
      <c r="DL497" s="135"/>
      <c r="DM497" s="135"/>
      <c r="DN497" s="135"/>
      <c r="DO497" s="135"/>
      <c r="DP497" s="135"/>
      <c r="DQ497" s="135"/>
      <c r="DR497" s="135"/>
      <c r="DS497" s="135"/>
      <c r="DT497" s="135"/>
      <c r="DU497" s="135"/>
      <c r="DV497" s="135"/>
      <c r="DW497" s="135"/>
      <c r="DX497" s="135"/>
      <c r="DY497" s="135"/>
      <c r="DZ497" s="135"/>
      <c r="EA497" s="135"/>
      <c r="EB497" s="135"/>
      <c r="EC497" s="135"/>
      <c r="ED497" s="135"/>
      <c r="EE497" s="135"/>
      <c r="EF497" s="135"/>
      <c r="EG497" s="135"/>
      <c r="EH497" s="135"/>
      <c r="EI497" s="135"/>
      <c r="EJ497" s="135"/>
      <c r="EK497" s="135"/>
      <c r="EL497" s="135"/>
      <c r="EM497" s="135"/>
      <c r="EN497" s="135"/>
      <c r="EO497" s="135"/>
      <c r="EP497" s="135"/>
      <c r="EQ497" s="135"/>
      <c r="ER497" s="135"/>
      <c r="ES497" s="135"/>
      <c r="ET497" s="135"/>
      <c r="EU497" s="135"/>
      <c r="EV497" s="135"/>
      <c r="EW497" s="135"/>
    </row>
    <row r="498" spans="2:153" s="141" customFormat="1" x14ac:dyDescent="0.2">
      <c r="B498" s="134"/>
      <c r="C498" s="135"/>
      <c r="D498" s="136"/>
      <c r="E498" s="136"/>
      <c r="F498" s="137"/>
      <c r="G498" s="138"/>
      <c r="H498" s="138"/>
      <c r="I498" s="463"/>
      <c r="J498" s="134"/>
      <c r="K498" s="139"/>
      <c r="L498" s="140"/>
      <c r="N498" s="134"/>
      <c r="O498" s="134"/>
      <c r="P498" s="134"/>
      <c r="Q498" s="134"/>
      <c r="R498" s="140"/>
      <c r="S498" s="135"/>
      <c r="T498" s="135"/>
      <c r="U498" s="135"/>
      <c r="V498" s="135"/>
      <c r="W498" s="135"/>
      <c r="X498" s="135"/>
      <c r="Y498" s="135"/>
      <c r="Z498" s="135"/>
      <c r="AA498" s="135"/>
      <c r="AB498" s="135"/>
      <c r="AC498" s="135"/>
      <c r="AD498" s="135"/>
      <c r="AE498" s="135"/>
      <c r="AF498" s="135"/>
      <c r="AG498" s="135"/>
      <c r="AH498" s="135"/>
      <c r="AI498" s="135"/>
      <c r="AJ498" s="135"/>
      <c r="AK498" s="135"/>
      <c r="AL498" s="135"/>
      <c r="AM498" s="135"/>
      <c r="AN498" s="135"/>
      <c r="AO498" s="135"/>
      <c r="AP498" s="135"/>
      <c r="AQ498" s="135"/>
      <c r="AR498" s="135"/>
      <c r="AS498" s="135"/>
      <c r="AT498" s="135"/>
      <c r="AU498" s="135"/>
      <c r="AV498" s="135"/>
      <c r="AW498" s="135"/>
      <c r="AX498" s="135"/>
      <c r="AY498" s="135"/>
      <c r="AZ498" s="135"/>
      <c r="BA498" s="135"/>
      <c r="BB498" s="135"/>
      <c r="BC498" s="135"/>
      <c r="BD498" s="135"/>
      <c r="BE498" s="135"/>
      <c r="BF498" s="135"/>
      <c r="BG498" s="135"/>
      <c r="BH498" s="135"/>
      <c r="BI498" s="135"/>
      <c r="BJ498" s="135"/>
      <c r="BK498" s="135"/>
      <c r="BL498" s="135"/>
      <c r="BM498" s="135"/>
      <c r="BN498" s="135"/>
      <c r="BO498" s="135"/>
      <c r="BP498" s="135"/>
      <c r="BQ498" s="135"/>
      <c r="BR498" s="135"/>
      <c r="BS498" s="135"/>
      <c r="BT498" s="135"/>
      <c r="BU498" s="135"/>
      <c r="BV498" s="135"/>
      <c r="BW498" s="135"/>
      <c r="BX498" s="135"/>
      <c r="BY498" s="135"/>
      <c r="BZ498" s="135"/>
      <c r="CA498" s="135"/>
      <c r="CB498" s="135"/>
      <c r="CC498" s="135"/>
      <c r="CD498" s="135"/>
      <c r="CE498" s="135"/>
      <c r="CF498" s="135"/>
      <c r="CG498" s="135"/>
      <c r="CH498" s="135"/>
      <c r="CI498" s="135"/>
      <c r="CJ498" s="135"/>
      <c r="CK498" s="135"/>
      <c r="CL498" s="135"/>
      <c r="CM498" s="135"/>
      <c r="CN498" s="135"/>
      <c r="CO498" s="135"/>
      <c r="CP498" s="135"/>
      <c r="CQ498" s="135"/>
      <c r="CR498" s="135"/>
      <c r="CS498" s="135"/>
      <c r="CT498" s="135"/>
      <c r="CU498" s="135"/>
      <c r="CV498" s="135"/>
      <c r="CW498" s="135"/>
      <c r="CX498" s="135"/>
      <c r="CY498" s="135"/>
      <c r="CZ498" s="135"/>
      <c r="DA498" s="135"/>
      <c r="DB498" s="135"/>
      <c r="DC498" s="135"/>
      <c r="DD498" s="135"/>
      <c r="DE498" s="135"/>
      <c r="DF498" s="135"/>
      <c r="DG498" s="135"/>
      <c r="DH498" s="135"/>
      <c r="DI498" s="135"/>
      <c r="DJ498" s="135"/>
      <c r="DK498" s="135"/>
      <c r="DL498" s="135"/>
      <c r="DM498" s="135"/>
      <c r="DN498" s="135"/>
      <c r="DO498" s="135"/>
      <c r="DP498" s="135"/>
      <c r="DQ498" s="135"/>
      <c r="DR498" s="135"/>
      <c r="DS498" s="135"/>
      <c r="DT498" s="135"/>
      <c r="DU498" s="135"/>
      <c r="DV498" s="135"/>
      <c r="DW498" s="135"/>
      <c r="DX498" s="135"/>
      <c r="DY498" s="135"/>
      <c r="DZ498" s="135"/>
      <c r="EA498" s="135"/>
      <c r="EB498" s="135"/>
      <c r="EC498" s="135"/>
      <c r="ED498" s="135"/>
      <c r="EE498" s="135"/>
      <c r="EF498" s="135"/>
      <c r="EG498" s="135"/>
      <c r="EH498" s="135"/>
      <c r="EI498" s="135"/>
      <c r="EJ498" s="135"/>
      <c r="EK498" s="135"/>
      <c r="EL498" s="135"/>
      <c r="EM498" s="135"/>
      <c r="EN498" s="135"/>
      <c r="EO498" s="135"/>
      <c r="EP498" s="135"/>
      <c r="EQ498" s="135"/>
      <c r="ER498" s="135"/>
      <c r="ES498" s="135"/>
      <c r="ET498" s="135"/>
      <c r="EU498" s="135"/>
      <c r="EV498" s="135"/>
      <c r="EW498" s="135"/>
    </row>
    <row r="499" spans="2:153" s="141" customFormat="1" x14ac:dyDescent="0.2">
      <c r="B499" s="134"/>
      <c r="C499" s="135"/>
      <c r="D499" s="136"/>
      <c r="E499" s="136"/>
      <c r="F499" s="137"/>
      <c r="G499" s="138"/>
      <c r="H499" s="138"/>
      <c r="I499" s="463"/>
      <c r="J499" s="134"/>
      <c r="K499" s="139"/>
      <c r="L499" s="140"/>
      <c r="N499" s="134"/>
      <c r="O499" s="134"/>
      <c r="P499" s="134"/>
      <c r="Q499" s="134"/>
      <c r="R499" s="140"/>
      <c r="S499" s="135"/>
      <c r="T499" s="135"/>
      <c r="U499" s="135"/>
      <c r="V499" s="135"/>
      <c r="W499" s="135"/>
      <c r="X499" s="135"/>
      <c r="Y499" s="135"/>
      <c r="Z499" s="135"/>
      <c r="AA499" s="135"/>
      <c r="AB499" s="135"/>
      <c r="AC499" s="135"/>
      <c r="AD499" s="135"/>
      <c r="AE499" s="135"/>
      <c r="AF499" s="135"/>
      <c r="AG499" s="135"/>
      <c r="AH499" s="135"/>
      <c r="AI499" s="135"/>
      <c r="AJ499" s="135"/>
      <c r="AK499" s="135"/>
      <c r="AL499" s="135"/>
      <c r="AM499" s="135"/>
      <c r="AN499" s="135"/>
      <c r="AO499" s="135"/>
      <c r="AP499" s="135"/>
      <c r="AQ499" s="135"/>
      <c r="AR499" s="135"/>
      <c r="AS499" s="135"/>
      <c r="AT499" s="135"/>
      <c r="AU499" s="135"/>
      <c r="AV499" s="135"/>
      <c r="AW499" s="135"/>
      <c r="AX499" s="135"/>
      <c r="AY499" s="135"/>
      <c r="AZ499" s="135"/>
      <c r="BA499" s="135"/>
      <c r="BB499" s="135"/>
      <c r="BC499" s="135"/>
      <c r="BD499" s="135"/>
      <c r="BE499" s="135"/>
      <c r="BF499" s="135"/>
      <c r="BG499" s="135"/>
      <c r="BH499" s="135"/>
      <c r="BI499" s="135"/>
      <c r="BJ499" s="135"/>
      <c r="BK499" s="135"/>
      <c r="BL499" s="135"/>
      <c r="BM499" s="135"/>
      <c r="BN499" s="135"/>
      <c r="BO499" s="135"/>
      <c r="BP499" s="135"/>
      <c r="BQ499" s="135"/>
      <c r="BR499" s="135"/>
      <c r="BS499" s="135"/>
      <c r="BT499" s="135"/>
      <c r="BU499" s="135"/>
      <c r="BV499" s="135"/>
      <c r="BW499" s="135"/>
      <c r="BX499" s="135"/>
      <c r="BY499" s="135"/>
      <c r="BZ499" s="135"/>
      <c r="CA499" s="135"/>
      <c r="CB499" s="135"/>
      <c r="CC499" s="135"/>
      <c r="CD499" s="135"/>
      <c r="CE499" s="135"/>
      <c r="CF499" s="135"/>
      <c r="CG499" s="135"/>
      <c r="CH499" s="135"/>
      <c r="CI499" s="135"/>
      <c r="CJ499" s="135"/>
      <c r="CK499" s="135"/>
      <c r="CL499" s="135"/>
      <c r="CM499" s="135"/>
      <c r="CN499" s="135"/>
      <c r="CO499" s="135"/>
      <c r="CP499" s="135"/>
      <c r="CQ499" s="135"/>
      <c r="CR499" s="135"/>
      <c r="CS499" s="135"/>
      <c r="CT499" s="135"/>
      <c r="CU499" s="135"/>
      <c r="CV499" s="135"/>
      <c r="CW499" s="135"/>
      <c r="CX499" s="135"/>
      <c r="CY499" s="135"/>
      <c r="CZ499" s="135"/>
      <c r="DA499" s="135"/>
      <c r="DB499" s="135"/>
      <c r="DC499" s="135"/>
      <c r="DD499" s="135"/>
      <c r="DE499" s="135"/>
      <c r="DF499" s="135"/>
      <c r="DG499" s="135"/>
      <c r="DH499" s="135"/>
      <c r="DI499" s="135"/>
      <c r="DJ499" s="135"/>
      <c r="DK499" s="135"/>
      <c r="DL499" s="135"/>
      <c r="DM499" s="135"/>
      <c r="DN499" s="135"/>
      <c r="DO499" s="135"/>
      <c r="DP499" s="135"/>
      <c r="DQ499" s="135"/>
      <c r="DR499" s="135"/>
      <c r="DS499" s="135"/>
      <c r="DT499" s="135"/>
      <c r="DU499" s="135"/>
      <c r="DV499" s="135"/>
      <c r="DW499" s="135"/>
      <c r="DX499" s="135"/>
      <c r="DY499" s="135"/>
      <c r="DZ499" s="135"/>
      <c r="EA499" s="135"/>
      <c r="EB499" s="135"/>
      <c r="EC499" s="135"/>
      <c r="ED499" s="135"/>
      <c r="EE499" s="135"/>
      <c r="EF499" s="135"/>
      <c r="EG499" s="135"/>
      <c r="EH499" s="135"/>
      <c r="EI499" s="135"/>
      <c r="EJ499" s="135"/>
      <c r="EK499" s="135"/>
      <c r="EL499" s="135"/>
      <c r="EM499" s="135"/>
      <c r="EN499" s="135"/>
      <c r="EO499" s="135"/>
      <c r="EP499" s="135"/>
      <c r="EQ499" s="135"/>
      <c r="ER499" s="135"/>
      <c r="ES499" s="135"/>
      <c r="ET499" s="135"/>
      <c r="EU499" s="135"/>
      <c r="EV499" s="135"/>
      <c r="EW499" s="135"/>
    </row>
    <row r="500" spans="2:153" s="141" customFormat="1" x14ac:dyDescent="0.2">
      <c r="B500" s="134"/>
      <c r="C500" s="135"/>
      <c r="D500" s="136"/>
      <c r="E500" s="136"/>
      <c r="F500" s="137"/>
      <c r="G500" s="138"/>
      <c r="H500" s="138"/>
      <c r="I500" s="463"/>
      <c r="J500" s="134"/>
      <c r="K500" s="139"/>
      <c r="L500" s="140"/>
      <c r="N500" s="134"/>
      <c r="O500" s="134"/>
      <c r="P500" s="134"/>
      <c r="Q500" s="134"/>
      <c r="R500" s="140"/>
      <c r="S500" s="135"/>
      <c r="T500" s="135"/>
      <c r="U500" s="135"/>
      <c r="V500" s="135"/>
      <c r="W500" s="135"/>
      <c r="X500" s="135"/>
      <c r="Y500" s="135"/>
      <c r="Z500" s="135"/>
      <c r="AA500" s="135"/>
      <c r="AB500" s="135"/>
      <c r="AC500" s="135"/>
      <c r="AD500" s="135"/>
      <c r="AE500" s="135"/>
      <c r="AF500" s="135"/>
      <c r="AG500" s="135"/>
      <c r="AH500" s="135"/>
      <c r="AI500" s="135"/>
      <c r="AJ500" s="135"/>
      <c r="AK500" s="135"/>
      <c r="AL500" s="135"/>
      <c r="AM500" s="135"/>
      <c r="AN500" s="135"/>
      <c r="AO500" s="135"/>
      <c r="AP500" s="135"/>
      <c r="AQ500" s="135"/>
      <c r="AR500" s="135"/>
      <c r="AS500" s="135"/>
      <c r="AT500" s="135"/>
      <c r="AU500" s="135"/>
      <c r="AV500" s="135"/>
      <c r="AW500" s="135"/>
      <c r="AX500" s="135"/>
      <c r="AY500" s="135"/>
      <c r="AZ500" s="135"/>
      <c r="BA500" s="135"/>
      <c r="BB500" s="135"/>
      <c r="BC500" s="135"/>
      <c r="BD500" s="135"/>
      <c r="BE500" s="135"/>
      <c r="BF500" s="135"/>
      <c r="BG500" s="135"/>
      <c r="BH500" s="135"/>
      <c r="BI500" s="135"/>
      <c r="BJ500" s="135"/>
      <c r="BK500" s="135"/>
      <c r="BL500" s="135"/>
      <c r="BM500" s="135"/>
      <c r="BN500" s="135"/>
      <c r="BO500" s="135"/>
      <c r="BP500" s="135"/>
      <c r="BQ500" s="135"/>
      <c r="BR500" s="135"/>
      <c r="BS500" s="135"/>
      <c r="BT500" s="135"/>
      <c r="BU500" s="135"/>
      <c r="BV500" s="135"/>
      <c r="BW500" s="135"/>
      <c r="BX500" s="135"/>
      <c r="BY500" s="135"/>
      <c r="BZ500" s="135"/>
      <c r="CA500" s="135"/>
      <c r="CB500" s="135"/>
      <c r="CC500" s="135"/>
      <c r="CD500" s="135"/>
      <c r="CE500" s="135"/>
      <c r="CF500" s="135"/>
      <c r="CG500" s="135"/>
      <c r="CH500" s="135"/>
      <c r="CI500" s="135"/>
      <c r="CJ500" s="135"/>
      <c r="CK500" s="135"/>
      <c r="CL500" s="135"/>
      <c r="CM500" s="135"/>
      <c r="CN500" s="135"/>
      <c r="CO500" s="135"/>
      <c r="CP500" s="135"/>
      <c r="CQ500" s="135"/>
      <c r="CR500" s="135"/>
      <c r="CS500" s="135"/>
      <c r="CT500" s="135"/>
      <c r="CU500" s="135"/>
      <c r="CV500" s="135"/>
      <c r="CW500" s="135"/>
      <c r="CX500" s="135"/>
      <c r="CY500" s="135"/>
      <c r="CZ500" s="135"/>
      <c r="DA500" s="135"/>
      <c r="DB500" s="135"/>
      <c r="DC500" s="135"/>
      <c r="DD500" s="135"/>
      <c r="DE500" s="135"/>
      <c r="DF500" s="135"/>
      <c r="DG500" s="135"/>
      <c r="DH500" s="135"/>
      <c r="DI500" s="135"/>
      <c r="DJ500" s="135"/>
      <c r="DK500" s="135"/>
      <c r="DL500" s="135"/>
      <c r="DM500" s="135"/>
      <c r="DN500" s="135"/>
      <c r="DO500" s="135"/>
      <c r="DP500" s="135"/>
      <c r="DQ500" s="135"/>
      <c r="DR500" s="135"/>
      <c r="DS500" s="135"/>
      <c r="DT500" s="135"/>
      <c r="DU500" s="135"/>
      <c r="DV500" s="135"/>
      <c r="DW500" s="135"/>
      <c r="DX500" s="135"/>
      <c r="DY500" s="135"/>
      <c r="DZ500" s="135"/>
      <c r="EA500" s="135"/>
      <c r="EB500" s="135"/>
      <c r="EC500" s="135"/>
      <c r="ED500" s="135"/>
      <c r="EE500" s="135"/>
      <c r="EF500" s="135"/>
      <c r="EG500" s="135"/>
      <c r="EH500" s="135"/>
      <c r="EI500" s="135"/>
      <c r="EJ500" s="135"/>
      <c r="EK500" s="135"/>
      <c r="EL500" s="135"/>
      <c r="EM500" s="135"/>
      <c r="EN500" s="135"/>
      <c r="EO500" s="135"/>
      <c r="EP500" s="135"/>
      <c r="EQ500" s="135"/>
      <c r="ER500" s="135"/>
      <c r="ES500" s="135"/>
      <c r="ET500" s="135"/>
      <c r="EU500" s="135"/>
      <c r="EV500" s="135"/>
      <c r="EW500" s="135"/>
    </row>
    <row r="501" spans="2:153" s="141" customFormat="1" x14ac:dyDescent="0.2">
      <c r="B501" s="134"/>
      <c r="C501" s="135"/>
      <c r="D501" s="136"/>
      <c r="E501" s="136"/>
      <c r="F501" s="137"/>
      <c r="G501" s="138"/>
      <c r="H501" s="138"/>
      <c r="I501" s="463"/>
      <c r="J501" s="134"/>
      <c r="K501" s="139"/>
      <c r="L501" s="140"/>
      <c r="N501" s="134"/>
      <c r="O501" s="134"/>
      <c r="P501" s="134"/>
      <c r="Q501" s="134"/>
      <c r="R501" s="140"/>
      <c r="S501" s="135"/>
      <c r="T501" s="135"/>
      <c r="U501" s="135"/>
      <c r="V501" s="135"/>
      <c r="W501" s="135"/>
      <c r="X501" s="135"/>
      <c r="Y501" s="135"/>
      <c r="Z501" s="135"/>
      <c r="AA501" s="135"/>
      <c r="AB501" s="135"/>
      <c r="AC501" s="135"/>
      <c r="AD501" s="135"/>
      <c r="AE501" s="135"/>
      <c r="AF501" s="135"/>
      <c r="AG501" s="135"/>
      <c r="AH501" s="135"/>
      <c r="AI501" s="135"/>
      <c r="AJ501" s="135"/>
      <c r="AK501" s="135"/>
      <c r="AL501" s="135"/>
      <c r="AM501" s="135"/>
      <c r="AN501" s="135"/>
      <c r="AO501" s="135"/>
      <c r="AP501" s="135"/>
      <c r="AQ501" s="135"/>
      <c r="AR501" s="135"/>
      <c r="AS501" s="135"/>
      <c r="AT501" s="135"/>
      <c r="AU501" s="135"/>
      <c r="AV501" s="135"/>
      <c r="AW501" s="135"/>
      <c r="AX501" s="135"/>
      <c r="AY501" s="135"/>
      <c r="AZ501" s="135"/>
      <c r="BA501" s="135"/>
      <c r="BB501" s="135"/>
      <c r="BC501" s="135"/>
      <c r="BD501" s="135"/>
      <c r="BE501" s="135"/>
      <c r="BF501" s="135"/>
      <c r="BG501" s="135"/>
      <c r="BH501" s="135"/>
      <c r="BI501" s="135"/>
      <c r="BJ501" s="135"/>
      <c r="BK501" s="135"/>
      <c r="BL501" s="135"/>
      <c r="BM501" s="135"/>
      <c r="BN501" s="135"/>
      <c r="BO501" s="135"/>
      <c r="BP501" s="135"/>
      <c r="BQ501" s="135"/>
      <c r="BR501" s="135"/>
      <c r="BS501" s="135"/>
      <c r="BT501" s="135"/>
      <c r="BU501" s="135"/>
      <c r="BV501" s="135"/>
      <c r="BW501" s="135"/>
      <c r="BX501" s="135"/>
      <c r="BY501" s="135"/>
      <c r="BZ501" s="135"/>
      <c r="CA501" s="135"/>
      <c r="CB501" s="135"/>
      <c r="CC501" s="135"/>
      <c r="CD501" s="135"/>
      <c r="CE501" s="135"/>
      <c r="CF501" s="135"/>
      <c r="CG501" s="135"/>
      <c r="CH501" s="135"/>
      <c r="CI501" s="135"/>
      <c r="CJ501" s="135"/>
      <c r="CK501" s="135"/>
      <c r="CL501" s="135"/>
      <c r="CM501" s="135"/>
      <c r="CN501" s="135"/>
      <c r="CO501" s="135"/>
      <c r="CP501" s="135"/>
      <c r="CQ501" s="135"/>
      <c r="CR501" s="135"/>
      <c r="CS501" s="135"/>
      <c r="CT501" s="135"/>
      <c r="CU501" s="135"/>
      <c r="CV501" s="135"/>
      <c r="CW501" s="135"/>
      <c r="CX501" s="135"/>
      <c r="CY501" s="135"/>
      <c r="CZ501" s="135"/>
      <c r="DA501" s="135"/>
      <c r="DB501" s="135"/>
      <c r="DC501" s="135"/>
      <c r="DD501" s="135"/>
      <c r="DE501" s="135"/>
      <c r="DF501" s="135"/>
      <c r="DG501" s="135"/>
      <c r="DH501" s="135"/>
      <c r="DI501" s="135"/>
      <c r="DJ501" s="135"/>
      <c r="DK501" s="135"/>
      <c r="DL501" s="135"/>
      <c r="DM501" s="135"/>
      <c r="DN501" s="135"/>
      <c r="DO501" s="135"/>
      <c r="DP501" s="135"/>
      <c r="DQ501" s="135"/>
      <c r="DR501" s="135"/>
      <c r="DS501" s="135"/>
      <c r="DT501" s="135"/>
      <c r="DU501" s="135"/>
      <c r="DV501" s="135"/>
      <c r="DW501" s="135"/>
      <c r="DX501" s="135"/>
      <c r="DY501" s="135"/>
      <c r="DZ501" s="135"/>
      <c r="EA501" s="135"/>
      <c r="EB501" s="135"/>
      <c r="EC501" s="135"/>
      <c r="ED501" s="135"/>
      <c r="EE501" s="135"/>
      <c r="EF501" s="135"/>
      <c r="EG501" s="135"/>
      <c r="EH501" s="135"/>
      <c r="EI501" s="135"/>
      <c r="EJ501" s="135"/>
      <c r="EK501" s="135"/>
      <c r="EL501" s="135"/>
      <c r="EM501" s="135"/>
      <c r="EN501" s="135"/>
      <c r="EO501" s="135"/>
      <c r="EP501" s="135"/>
      <c r="EQ501" s="135"/>
      <c r="ER501" s="135"/>
      <c r="ES501" s="135"/>
      <c r="ET501" s="135"/>
      <c r="EU501" s="135"/>
      <c r="EV501" s="135"/>
      <c r="EW501" s="135"/>
    </row>
    <row r="502" spans="2:153" s="141" customFormat="1" x14ac:dyDescent="0.2">
      <c r="B502" s="134"/>
      <c r="C502" s="135"/>
      <c r="D502" s="136"/>
      <c r="E502" s="136"/>
      <c r="F502" s="137"/>
      <c r="G502" s="138"/>
      <c r="H502" s="138"/>
      <c r="I502" s="463"/>
      <c r="J502" s="134"/>
      <c r="K502" s="139"/>
      <c r="L502" s="140"/>
      <c r="N502" s="134"/>
      <c r="O502" s="134"/>
      <c r="P502" s="134"/>
      <c r="Q502" s="134"/>
      <c r="R502" s="140"/>
      <c r="S502" s="135"/>
      <c r="T502" s="135"/>
      <c r="U502" s="135"/>
      <c r="V502" s="135"/>
      <c r="W502" s="135"/>
      <c r="X502" s="135"/>
      <c r="Y502" s="135"/>
      <c r="Z502" s="135"/>
      <c r="AA502" s="135"/>
      <c r="AB502" s="135"/>
      <c r="AC502" s="135"/>
      <c r="AD502" s="135"/>
      <c r="AE502" s="135"/>
      <c r="AF502" s="135"/>
      <c r="AG502" s="135"/>
      <c r="AH502" s="135"/>
      <c r="AI502" s="135"/>
      <c r="AJ502" s="135"/>
      <c r="AK502" s="135"/>
      <c r="AL502" s="135"/>
      <c r="AM502" s="135"/>
      <c r="AN502" s="135"/>
      <c r="AO502" s="135"/>
      <c r="AP502" s="135"/>
      <c r="AQ502" s="135"/>
      <c r="AR502" s="135"/>
      <c r="AS502" s="135"/>
      <c r="AT502" s="135"/>
      <c r="AU502" s="135"/>
      <c r="AV502" s="135"/>
      <c r="AW502" s="135"/>
      <c r="AX502" s="135"/>
      <c r="AY502" s="135"/>
      <c r="AZ502" s="135"/>
      <c r="BA502" s="135"/>
      <c r="BB502" s="135"/>
      <c r="BC502" s="135"/>
      <c r="BD502" s="135"/>
      <c r="BE502" s="135"/>
      <c r="BF502" s="135"/>
      <c r="BG502" s="135"/>
      <c r="BH502" s="135"/>
      <c r="BI502" s="135"/>
      <c r="BJ502" s="135"/>
      <c r="BK502" s="135"/>
      <c r="BL502" s="135"/>
      <c r="BM502" s="135"/>
      <c r="BN502" s="135"/>
      <c r="BO502" s="135"/>
      <c r="BP502" s="135"/>
      <c r="BQ502" s="135"/>
      <c r="BR502" s="135"/>
      <c r="BS502" s="135"/>
      <c r="BT502" s="135"/>
      <c r="BU502" s="135"/>
      <c r="BV502" s="135"/>
      <c r="BW502" s="135"/>
      <c r="BX502" s="135"/>
      <c r="BY502" s="135"/>
      <c r="BZ502" s="135"/>
      <c r="CA502" s="135"/>
      <c r="CB502" s="135"/>
      <c r="CC502" s="135"/>
      <c r="CD502" s="135"/>
      <c r="CE502" s="135"/>
      <c r="CF502" s="135"/>
      <c r="CG502" s="135"/>
      <c r="CH502" s="135"/>
      <c r="CI502" s="135"/>
      <c r="CJ502" s="135"/>
      <c r="CK502" s="135"/>
      <c r="CL502" s="135"/>
      <c r="CM502" s="135"/>
      <c r="CN502" s="135"/>
      <c r="CO502" s="135"/>
      <c r="CP502" s="135"/>
      <c r="CQ502" s="135"/>
      <c r="CR502" s="135"/>
      <c r="CS502" s="135"/>
      <c r="CT502" s="135"/>
      <c r="CU502" s="135"/>
      <c r="CV502" s="135"/>
      <c r="CW502" s="135"/>
      <c r="CX502" s="135"/>
      <c r="CY502" s="135"/>
      <c r="CZ502" s="135"/>
      <c r="DA502" s="135"/>
      <c r="DB502" s="135"/>
      <c r="DC502" s="135"/>
      <c r="DD502" s="135"/>
      <c r="DE502" s="135"/>
      <c r="DF502" s="135"/>
      <c r="DG502" s="135"/>
      <c r="DH502" s="135"/>
      <c r="DI502" s="135"/>
      <c r="DJ502" s="135"/>
      <c r="DK502" s="135"/>
      <c r="DL502" s="135"/>
      <c r="DM502" s="135"/>
      <c r="DN502" s="135"/>
      <c r="DO502" s="135"/>
      <c r="DP502" s="135"/>
      <c r="DQ502" s="135"/>
      <c r="DR502" s="135"/>
      <c r="DS502" s="135"/>
      <c r="DT502" s="135"/>
      <c r="DU502" s="135"/>
      <c r="DV502" s="135"/>
      <c r="DW502" s="135"/>
      <c r="DX502" s="135"/>
      <c r="DY502" s="135"/>
      <c r="DZ502" s="135"/>
      <c r="EA502" s="135"/>
      <c r="EB502" s="135"/>
      <c r="EC502" s="135"/>
      <c r="ED502" s="135"/>
      <c r="EE502" s="135"/>
      <c r="EF502" s="135"/>
      <c r="EG502" s="135"/>
      <c r="EH502" s="135"/>
      <c r="EI502" s="135"/>
      <c r="EJ502" s="135"/>
      <c r="EK502" s="135"/>
      <c r="EL502" s="135"/>
      <c r="EM502" s="135"/>
      <c r="EN502" s="135"/>
      <c r="EO502" s="135"/>
      <c r="EP502" s="135"/>
      <c r="EQ502" s="135"/>
      <c r="ER502" s="135"/>
      <c r="ES502" s="135"/>
      <c r="ET502" s="135"/>
      <c r="EU502" s="135"/>
      <c r="EV502" s="135"/>
      <c r="EW502" s="135"/>
    </row>
    <row r="503" spans="2:153" s="141" customFormat="1" x14ac:dyDescent="0.2">
      <c r="B503" s="134"/>
      <c r="C503" s="135"/>
      <c r="D503" s="136"/>
      <c r="E503" s="136"/>
      <c r="F503" s="137"/>
      <c r="G503" s="138"/>
      <c r="H503" s="138"/>
      <c r="I503" s="463"/>
      <c r="J503" s="134"/>
      <c r="K503" s="139"/>
      <c r="L503" s="140"/>
      <c r="N503" s="134"/>
      <c r="O503" s="134"/>
      <c r="P503" s="134"/>
      <c r="Q503" s="134"/>
      <c r="R503" s="140"/>
      <c r="S503" s="135"/>
      <c r="T503" s="135"/>
      <c r="U503" s="135"/>
      <c r="V503" s="135"/>
      <c r="W503" s="135"/>
      <c r="X503" s="135"/>
      <c r="Y503" s="135"/>
      <c r="Z503" s="135"/>
      <c r="AA503" s="135"/>
      <c r="AB503" s="135"/>
      <c r="AC503" s="135"/>
      <c r="AD503" s="135"/>
      <c r="AE503" s="135"/>
      <c r="AF503" s="135"/>
      <c r="AG503" s="135"/>
      <c r="AH503" s="135"/>
      <c r="AI503" s="135"/>
      <c r="AJ503" s="135"/>
      <c r="AK503" s="135"/>
      <c r="AL503" s="135"/>
      <c r="AM503" s="135"/>
      <c r="AN503" s="135"/>
      <c r="AO503" s="135"/>
      <c r="AP503" s="135"/>
      <c r="AQ503" s="135"/>
      <c r="AR503" s="135"/>
      <c r="AS503" s="135"/>
      <c r="AT503" s="135"/>
      <c r="AU503" s="135"/>
      <c r="AV503" s="135"/>
      <c r="AW503" s="135"/>
      <c r="AX503" s="135"/>
      <c r="AY503" s="135"/>
      <c r="AZ503" s="135"/>
      <c r="BA503" s="135"/>
      <c r="BB503" s="135"/>
      <c r="BC503" s="135"/>
      <c r="BD503" s="135"/>
      <c r="BE503" s="135"/>
      <c r="BF503" s="135"/>
      <c r="BG503" s="135"/>
      <c r="BH503" s="135"/>
      <c r="BI503" s="135"/>
      <c r="BJ503" s="135"/>
      <c r="BK503" s="135"/>
      <c r="BL503" s="135"/>
      <c r="BM503" s="135"/>
      <c r="BN503" s="135"/>
      <c r="BO503" s="135"/>
      <c r="BP503" s="135"/>
      <c r="BQ503" s="135"/>
      <c r="BR503" s="135"/>
      <c r="BS503" s="135"/>
      <c r="BT503" s="135"/>
      <c r="BU503" s="135"/>
      <c r="BV503" s="135"/>
      <c r="BW503" s="135"/>
      <c r="BX503" s="135"/>
      <c r="BY503" s="135"/>
      <c r="BZ503" s="135"/>
      <c r="CA503" s="135"/>
      <c r="CB503" s="135"/>
      <c r="CC503" s="135"/>
      <c r="CD503" s="135"/>
      <c r="CE503" s="135"/>
      <c r="CF503" s="135"/>
      <c r="CG503" s="135"/>
      <c r="CH503" s="135"/>
      <c r="CI503" s="135"/>
      <c r="CJ503" s="135"/>
      <c r="CK503" s="135"/>
      <c r="CL503" s="135"/>
      <c r="CM503" s="135"/>
      <c r="CN503" s="135"/>
      <c r="CO503" s="135"/>
      <c r="CP503" s="135"/>
      <c r="CQ503" s="135"/>
      <c r="CR503" s="135"/>
      <c r="CS503" s="135"/>
      <c r="CT503" s="135"/>
      <c r="CU503" s="135"/>
      <c r="CV503" s="135"/>
      <c r="CW503" s="135"/>
      <c r="CX503" s="135"/>
      <c r="CY503" s="135"/>
      <c r="CZ503" s="135"/>
      <c r="DA503" s="135"/>
      <c r="DB503" s="135"/>
      <c r="DC503" s="135"/>
      <c r="DD503" s="135"/>
      <c r="DE503" s="135"/>
      <c r="DF503" s="135"/>
      <c r="DG503" s="135"/>
      <c r="DH503" s="135"/>
      <c r="DI503" s="135"/>
      <c r="DJ503" s="135"/>
      <c r="DK503" s="135"/>
      <c r="DL503" s="135"/>
      <c r="DM503" s="135"/>
      <c r="DN503" s="135"/>
      <c r="DO503" s="135"/>
      <c r="DP503" s="135"/>
      <c r="DQ503" s="135"/>
      <c r="DR503" s="135"/>
      <c r="DS503" s="135"/>
      <c r="DT503" s="135"/>
      <c r="DU503" s="135"/>
      <c r="DV503" s="135"/>
      <c r="DW503" s="135"/>
      <c r="DX503" s="135"/>
      <c r="DY503" s="135"/>
      <c r="DZ503" s="135"/>
      <c r="EA503" s="135"/>
      <c r="EB503" s="135"/>
      <c r="EC503" s="135"/>
      <c r="ED503" s="135"/>
      <c r="EE503" s="135"/>
      <c r="EF503" s="135"/>
      <c r="EG503" s="135"/>
      <c r="EH503" s="135"/>
      <c r="EI503" s="135"/>
      <c r="EJ503" s="135"/>
      <c r="EK503" s="135"/>
      <c r="EL503" s="135"/>
      <c r="EM503" s="135"/>
      <c r="EN503" s="135"/>
      <c r="EO503" s="135"/>
      <c r="EP503" s="135"/>
      <c r="EQ503" s="135"/>
      <c r="ER503" s="135"/>
      <c r="ES503" s="135"/>
      <c r="ET503" s="135"/>
      <c r="EU503" s="135"/>
      <c r="EV503" s="135"/>
      <c r="EW503" s="135"/>
    </row>
    <row r="504" spans="2:153" s="141" customFormat="1" x14ac:dyDescent="0.2">
      <c r="B504" s="134"/>
      <c r="C504" s="135"/>
      <c r="D504" s="136"/>
      <c r="E504" s="136"/>
      <c r="F504" s="137"/>
      <c r="G504" s="138"/>
      <c r="H504" s="138"/>
      <c r="I504" s="463"/>
      <c r="J504" s="134"/>
      <c r="K504" s="139"/>
      <c r="L504" s="140"/>
      <c r="N504" s="134"/>
      <c r="O504" s="134"/>
      <c r="P504" s="134"/>
      <c r="Q504" s="134"/>
      <c r="R504" s="140"/>
      <c r="S504" s="135"/>
      <c r="T504" s="135"/>
      <c r="U504" s="135"/>
      <c r="V504" s="135"/>
      <c r="W504" s="135"/>
      <c r="X504" s="135"/>
      <c r="Y504" s="135"/>
      <c r="Z504" s="135"/>
      <c r="AA504" s="135"/>
      <c r="AB504" s="135"/>
      <c r="AC504" s="135"/>
      <c r="AD504" s="135"/>
      <c r="AE504" s="135"/>
      <c r="AF504" s="135"/>
      <c r="AG504" s="135"/>
      <c r="AH504" s="135"/>
      <c r="AI504" s="135"/>
      <c r="AJ504" s="135"/>
      <c r="AK504" s="135"/>
      <c r="AL504" s="135"/>
      <c r="AM504" s="135"/>
      <c r="AN504" s="135"/>
      <c r="AO504" s="135"/>
      <c r="AP504" s="135"/>
      <c r="AQ504" s="135"/>
      <c r="AR504" s="135"/>
      <c r="AS504" s="135"/>
      <c r="AT504" s="135"/>
      <c r="AU504" s="135"/>
      <c r="AV504" s="135"/>
      <c r="AW504" s="135"/>
      <c r="AX504" s="135"/>
      <c r="AY504" s="135"/>
      <c r="AZ504" s="135"/>
      <c r="BA504" s="135"/>
      <c r="BB504" s="135"/>
      <c r="BC504" s="135"/>
      <c r="BD504" s="135"/>
      <c r="BE504" s="135"/>
      <c r="BF504" s="135"/>
      <c r="BG504" s="135"/>
      <c r="BH504" s="135"/>
      <c r="BI504" s="135"/>
      <c r="BJ504" s="135"/>
      <c r="BK504" s="135"/>
      <c r="BL504" s="135"/>
      <c r="BM504" s="135"/>
      <c r="BN504" s="135"/>
      <c r="BO504" s="135"/>
      <c r="BP504" s="135"/>
      <c r="BQ504" s="135"/>
      <c r="BR504" s="135"/>
      <c r="BS504" s="135"/>
      <c r="BT504" s="135"/>
      <c r="BU504" s="135"/>
      <c r="BV504" s="135"/>
      <c r="BW504" s="135"/>
      <c r="BX504" s="135"/>
      <c r="BY504" s="135"/>
      <c r="BZ504" s="135"/>
      <c r="CA504" s="135"/>
      <c r="CB504" s="135"/>
      <c r="CC504" s="135"/>
      <c r="CD504" s="135"/>
      <c r="CE504" s="135"/>
      <c r="CF504" s="135"/>
      <c r="CG504" s="135"/>
      <c r="CH504" s="135"/>
      <c r="CI504" s="135"/>
      <c r="CJ504" s="135"/>
      <c r="CK504" s="135"/>
      <c r="CL504" s="135"/>
      <c r="CM504" s="135"/>
      <c r="CN504" s="135"/>
      <c r="CO504" s="135"/>
      <c r="CP504" s="135"/>
      <c r="CQ504" s="135"/>
      <c r="CR504" s="135"/>
      <c r="CS504" s="135"/>
      <c r="CT504" s="135"/>
      <c r="CU504" s="135"/>
      <c r="CV504" s="135"/>
      <c r="CW504" s="135"/>
      <c r="CX504" s="135"/>
      <c r="CY504" s="135"/>
      <c r="CZ504" s="135"/>
      <c r="DA504" s="135"/>
      <c r="DB504" s="135"/>
      <c r="DC504" s="135"/>
      <c r="DD504" s="135"/>
      <c r="DE504" s="135"/>
      <c r="DF504" s="135"/>
      <c r="DG504" s="135"/>
      <c r="DH504" s="135"/>
      <c r="DI504" s="135"/>
      <c r="DJ504" s="135"/>
      <c r="DK504" s="135"/>
      <c r="DL504" s="135"/>
      <c r="DM504" s="135"/>
      <c r="DN504" s="135"/>
      <c r="DO504" s="135"/>
      <c r="DP504" s="135"/>
      <c r="DQ504" s="135"/>
      <c r="DR504" s="135"/>
      <c r="DS504" s="135"/>
      <c r="DT504" s="135"/>
      <c r="DU504" s="135"/>
      <c r="DV504" s="135"/>
      <c r="DW504" s="135"/>
      <c r="DX504" s="135"/>
      <c r="DY504" s="135"/>
      <c r="DZ504" s="135"/>
      <c r="EA504" s="135"/>
      <c r="EB504" s="135"/>
      <c r="EC504" s="135"/>
      <c r="ED504" s="135"/>
      <c r="EE504" s="135"/>
      <c r="EF504" s="135"/>
      <c r="EG504" s="135"/>
      <c r="EH504" s="135"/>
      <c r="EI504" s="135"/>
      <c r="EJ504" s="135"/>
      <c r="EK504" s="135"/>
      <c r="EL504" s="135"/>
      <c r="EM504" s="135"/>
      <c r="EN504" s="135"/>
      <c r="EO504" s="135"/>
      <c r="EP504" s="135"/>
      <c r="EQ504" s="135"/>
      <c r="ER504" s="135"/>
      <c r="ES504" s="135"/>
      <c r="ET504" s="135"/>
      <c r="EU504" s="135"/>
      <c r="EV504" s="135"/>
      <c r="EW504" s="135"/>
    </row>
    <row r="505" spans="2:153" s="141" customFormat="1" x14ac:dyDescent="0.2">
      <c r="B505" s="134"/>
      <c r="C505" s="135"/>
      <c r="D505" s="136"/>
      <c r="E505" s="136"/>
      <c r="F505" s="137"/>
      <c r="G505" s="138"/>
      <c r="H505" s="138"/>
      <c r="I505" s="463"/>
      <c r="J505" s="134"/>
      <c r="K505" s="139"/>
      <c r="L505" s="140"/>
      <c r="N505" s="134"/>
      <c r="O505" s="134"/>
      <c r="P505" s="134"/>
      <c r="Q505" s="134"/>
      <c r="R505" s="140"/>
      <c r="S505" s="135"/>
      <c r="T505" s="135"/>
      <c r="U505" s="135"/>
      <c r="V505" s="135"/>
      <c r="W505" s="135"/>
      <c r="X505" s="135"/>
      <c r="Y505" s="135"/>
      <c r="Z505" s="135"/>
      <c r="AA505" s="135"/>
      <c r="AB505" s="135"/>
      <c r="AC505" s="135"/>
      <c r="AD505" s="135"/>
      <c r="AE505" s="135"/>
      <c r="AF505" s="135"/>
      <c r="AG505" s="135"/>
      <c r="AH505" s="135"/>
      <c r="AI505" s="135"/>
      <c r="AJ505" s="135"/>
      <c r="AK505" s="135"/>
      <c r="AL505" s="135"/>
      <c r="AM505" s="135"/>
      <c r="AN505" s="135"/>
      <c r="AO505" s="135"/>
      <c r="AP505" s="135"/>
      <c r="AQ505" s="135"/>
      <c r="AR505" s="135"/>
      <c r="AS505" s="135"/>
      <c r="AT505" s="135"/>
      <c r="AU505" s="135"/>
      <c r="AV505" s="135"/>
      <c r="AW505" s="135"/>
      <c r="AX505" s="135"/>
      <c r="AY505" s="135"/>
      <c r="AZ505" s="135"/>
      <c r="BA505" s="135"/>
      <c r="BB505" s="135"/>
      <c r="BC505" s="135"/>
      <c r="BD505" s="135"/>
      <c r="BE505" s="135"/>
      <c r="BF505" s="135"/>
      <c r="BG505" s="135"/>
      <c r="BH505" s="135"/>
      <c r="BI505" s="135"/>
      <c r="BJ505" s="135"/>
      <c r="BK505" s="135"/>
      <c r="BL505" s="135"/>
      <c r="BM505" s="135"/>
      <c r="BN505" s="135"/>
      <c r="BO505" s="135"/>
      <c r="BP505" s="135"/>
      <c r="BQ505" s="135"/>
      <c r="BR505" s="135"/>
      <c r="BS505" s="135"/>
      <c r="BT505" s="135"/>
      <c r="BU505" s="135"/>
      <c r="BV505" s="135"/>
      <c r="BW505" s="135"/>
      <c r="BX505" s="135"/>
      <c r="BY505" s="135"/>
      <c r="BZ505" s="135"/>
      <c r="CA505" s="135"/>
      <c r="CB505" s="135"/>
      <c r="CC505" s="135"/>
      <c r="CD505" s="135"/>
      <c r="CE505" s="135"/>
      <c r="CF505" s="135"/>
      <c r="CG505" s="135"/>
      <c r="CH505" s="135"/>
      <c r="CI505" s="135"/>
      <c r="CJ505" s="135"/>
      <c r="CK505" s="135"/>
      <c r="CL505" s="135"/>
      <c r="CM505" s="135"/>
      <c r="CN505" s="135"/>
      <c r="CO505" s="135"/>
      <c r="CP505" s="135"/>
      <c r="CQ505" s="135"/>
      <c r="CR505" s="135"/>
      <c r="CS505" s="135"/>
      <c r="CT505" s="135"/>
      <c r="CU505" s="135"/>
      <c r="CV505" s="135"/>
      <c r="CW505" s="135"/>
      <c r="CX505" s="135"/>
      <c r="CY505" s="135"/>
      <c r="CZ505" s="135"/>
      <c r="DA505" s="135"/>
      <c r="DB505" s="135"/>
      <c r="DC505" s="135"/>
      <c r="DD505" s="135"/>
      <c r="DE505" s="135"/>
      <c r="DF505" s="135"/>
      <c r="DG505" s="135"/>
      <c r="DH505" s="135"/>
      <c r="DI505" s="135"/>
      <c r="DJ505" s="135"/>
      <c r="DK505" s="135"/>
      <c r="DL505" s="135"/>
      <c r="DM505" s="135"/>
      <c r="DN505" s="135"/>
      <c r="DO505" s="135"/>
      <c r="DP505" s="135"/>
      <c r="DQ505" s="135"/>
      <c r="DR505" s="135"/>
      <c r="DS505" s="135"/>
      <c r="DT505" s="135"/>
      <c r="DU505" s="135"/>
      <c r="DV505" s="135"/>
      <c r="DW505" s="135"/>
      <c r="DX505" s="135"/>
      <c r="DY505" s="135"/>
      <c r="DZ505" s="135"/>
      <c r="EA505" s="135"/>
      <c r="EB505" s="135"/>
      <c r="EC505" s="135"/>
      <c r="ED505" s="135"/>
      <c r="EE505" s="135"/>
      <c r="EF505" s="135"/>
      <c r="EG505" s="135"/>
      <c r="EH505" s="135"/>
      <c r="EI505" s="135"/>
      <c r="EJ505" s="135"/>
      <c r="EK505" s="135"/>
      <c r="EL505" s="135"/>
      <c r="EM505" s="135"/>
      <c r="EN505" s="135"/>
      <c r="EO505" s="135"/>
      <c r="EP505" s="135"/>
      <c r="EQ505" s="135"/>
      <c r="ER505" s="135"/>
      <c r="ES505" s="135"/>
      <c r="ET505" s="135"/>
      <c r="EU505" s="135"/>
      <c r="EV505" s="135"/>
      <c r="EW505" s="135"/>
    </row>
    <row r="506" spans="2:153" s="141" customFormat="1" x14ac:dyDescent="0.2">
      <c r="B506" s="134"/>
      <c r="C506" s="135"/>
      <c r="D506" s="136"/>
      <c r="E506" s="136"/>
      <c r="F506" s="137"/>
      <c r="G506" s="138"/>
      <c r="H506" s="138"/>
      <c r="I506" s="463"/>
      <c r="J506" s="134"/>
      <c r="K506" s="139"/>
      <c r="L506" s="140"/>
      <c r="N506" s="134"/>
      <c r="O506" s="134"/>
      <c r="P506" s="134"/>
      <c r="Q506" s="134"/>
      <c r="R506" s="140"/>
      <c r="S506" s="135"/>
      <c r="T506" s="135"/>
      <c r="U506" s="135"/>
      <c r="V506" s="135"/>
      <c r="W506" s="135"/>
      <c r="X506" s="135"/>
      <c r="Y506" s="135"/>
      <c r="Z506" s="135"/>
      <c r="AA506" s="135"/>
      <c r="AB506" s="135"/>
      <c r="AC506" s="135"/>
      <c r="AD506" s="135"/>
      <c r="AE506" s="135"/>
      <c r="AF506" s="135"/>
      <c r="AG506" s="135"/>
      <c r="AH506" s="135"/>
      <c r="AI506" s="135"/>
      <c r="AJ506" s="135"/>
      <c r="AK506" s="135"/>
      <c r="AL506" s="135"/>
      <c r="AM506" s="135"/>
      <c r="AN506" s="135"/>
      <c r="AO506" s="135"/>
      <c r="AP506" s="135"/>
      <c r="AQ506" s="135"/>
      <c r="AR506" s="135"/>
      <c r="AS506" s="135"/>
      <c r="AT506" s="135"/>
      <c r="AU506" s="135"/>
      <c r="AV506" s="135"/>
      <c r="AW506" s="135"/>
      <c r="AX506" s="135"/>
      <c r="AY506" s="135"/>
      <c r="AZ506" s="135"/>
      <c r="BA506" s="135"/>
      <c r="BB506" s="135"/>
      <c r="BC506" s="135"/>
      <c r="BD506" s="135"/>
      <c r="BE506" s="135"/>
      <c r="BF506" s="135"/>
      <c r="BG506" s="135"/>
      <c r="BH506" s="135"/>
      <c r="BI506" s="135"/>
      <c r="BJ506" s="135"/>
      <c r="BK506" s="135"/>
      <c r="BL506" s="135"/>
      <c r="BM506" s="135"/>
      <c r="BN506" s="135"/>
      <c r="BO506" s="135"/>
      <c r="BP506" s="135"/>
      <c r="BQ506" s="135"/>
      <c r="BR506" s="135"/>
      <c r="BS506" s="135"/>
      <c r="BT506" s="135"/>
      <c r="BU506" s="135"/>
      <c r="BV506" s="135"/>
      <c r="BW506" s="135"/>
      <c r="BX506" s="135"/>
      <c r="BY506" s="135"/>
      <c r="BZ506" s="135"/>
      <c r="CA506" s="135"/>
      <c r="CB506" s="135"/>
      <c r="CC506" s="135"/>
      <c r="CD506" s="135"/>
      <c r="CE506" s="135"/>
      <c r="CF506" s="135"/>
      <c r="CG506" s="135"/>
      <c r="CH506" s="135"/>
      <c r="CI506" s="135"/>
      <c r="CJ506" s="135"/>
      <c r="CK506" s="135"/>
      <c r="CL506" s="135"/>
      <c r="CM506" s="135"/>
      <c r="CN506" s="135"/>
      <c r="CO506" s="135"/>
      <c r="CP506" s="135"/>
      <c r="CQ506" s="135"/>
      <c r="CR506" s="135"/>
      <c r="CS506" s="135"/>
      <c r="CT506" s="135"/>
      <c r="CU506" s="135"/>
      <c r="CV506" s="135"/>
      <c r="CW506" s="135"/>
      <c r="CX506" s="135"/>
      <c r="CY506" s="135"/>
      <c r="CZ506" s="135"/>
      <c r="DA506" s="135"/>
      <c r="DB506" s="135"/>
      <c r="DC506" s="135"/>
      <c r="DD506" s="135"/>
      <c r="DE506" s="135"/>
      <c r="DF506" s="135"/>
      <c r="DG506" s="135"/>
      <c r="DH506" s="135"/>
      <c r="DI506" s="135"/>
      <c r="DJ506" s="135"/>
      <c r="DK506" s="135"/>
      <c r="DL506" s="135"/>
      <c r="DM506" s="135"/>
      <c r="DN506" s="135"/>
      <c r="DO506" s="135"/>
      <c r="DP506" s="135"/>
      <c r="DQ506" s="135"/>
      <c r="DR506" s="135"/>
      <c r="DS506" s="135"/>
      <c r="DT506" s="135"/>
      <c r="DU506" s="135"/>
      <c r="DV506" s="135"/>
      <c r="DW506" s="135"/>
      <c r="DX506" s="135"/>
      <c r="DY506" s="135"/>
      <c r="DZ506" s="135"/>
      <c r="EA506" s="135"/>
      <c r="EB506" s="135"/>
      <c r="EC506" s="135"/>
      <c r="ED506" s="135"/>
      <c r="EE506" s="135"/>
      <c r="EF506" s="135"/>
      <c r="EG506" s="135"/>
      <c r="EH506" s="135"/>
      <c r="EI506" s="135"/>
      <c r="EJ506" s="135"/>
      <c r="EK506" s="135"/>
      <c r="EL506" s="135"/>
      <c r="EM506" s="135"/>
      <c r="EN506" s="135"/>
      <c r="EO506" s="135"/>
      <c r="EP506" s="135"/>
      <c r="EQ506" s="135"/>
      <c r="ER506" s="135"/>
      <c r="ES506" s="135"/>
      <c r="ET506" s="135"/>
      <c r="EU506" s="135"/>
      <c r="EV506" s="135"/>
      <c r="EW506" s="135"/>
    </row>
    <row r="507" spans="2:153" s="141" customFormat="1" x14ac:dyDescent="0.2">
      <c r="B507" s="134"/>
      <c r="C507" s="135"/>
      <c r="D507" s="136"/>
      <c r="E507" s="136"/>
      <c r="F507" s="137"/>
      <c r="G507" s="138"/>
      <c r="H507" s="138"/>
      <c r="I507" s="463"/>
      <c r="J507" s="134"/>
      <c r="K507" s="139"/>
      <c r="L507" s="140"/>
      <c r="N507" s="134"/>
      <c r="O507" s="134"/>
      <c r="P507" s="134"/>
      <c r="Q507" s="134"/>
      <c r="R507" s="140"/>
      <c r="S507" s="135"/>
      <c r="T507" s="135"/>
      <c r="U507" s="135"/>
      <c r="V507" s="135"/>
      <c r="W507" s="135"/>
      <c r="X507" s="135"/>
      <c r="Y507" s="135"/>
      <c r="Z507" s="135"/>
      <c r="AA507" s="135"/>
      <c r="AB507" s="135"/>
      <c r="AC507" s="135"/>
      <c r="AD507" s="135"/>
      <c r="AE507" s="135"/>
      <c r="AF507" s="135"/>
      <c r="AG507" s="135"/>
      <c r="AH507" s="135"/>
      <c r="AI507" s="135"/>
      <c r="AJ507" s="135"/>
      <c r="AK507" s="135"/>
      <c r="AL507" s="135"/>
      <c r="AM507" s="135"/>
      <c r="AN507" s="135"/>
      <c r="AO507" s="135"/>
      <c r="AP507" s="135"/>
      <c r="AQ507" s="135"/>
      <c r="AR507" s="135"/>
      <c r="AS507" s="135"/>
      <c r="AT507" s="135"/>
      <c r="AU507" s="135"/>
      <c r="AV507" s="135"/>
      <c r="AW507" s="135"/>
      <c r="AX507" s="135"/>
      <c r="AY507" s="135"/>
      <c r="AZ507" s="135"/>
      <c r="BA507" s="135"/>
      <c r="BB507" s="135"/>
      <c r="BC507" s="135"/>
      <c r="BD507" s="135"/>
      <c r="BE507" s="135"/>
      <c r="BF507" s="135"/>
      <c r="BG507" s="135"/>
      <c r="BH507" s="135"/>
      <c r="BI507" s="135"/>
      <c r="BJ507" s="135"/>
      <c r="BK507" s="135"/>
      <c r="BL507" s="135"/>
      <c r="BM507" s="135"/>
      <c r="BN507" s="135"/>
      <c r="BO507" s="135"/>
      <c r="BP507" s="135"/>
      <c r="BQ507" s="135"/>
      <c r="BR507" s="135"/>
      <c r="BS507" s="135"/>
      <c r="BT507" s="135"/>
      <c r="BU507" s="135"/>
      <c r="BV507" s="135"/>
      <c r="BW507" s="135"/>
      <c r="BX507" s="135"/>
      <c r="BY507" s="135"/>
      <c r="BZ507" s="135"/>
      <c r="CA507" s="135"/>
      <c r="CB507" s="135"/>
      <c r="CC507" s="135"/>
      <c r="CD507" s="135"/>
      <c r="CE507" s="135"/>
      <c r="CF507" s="135"/>
      <c r="CG507" s="135"/>
      <c r="CH507" s="135"/>
      <c r="CI507" s="135"/>
      <c r="CJ507" s="135"/>
      <c r="CK507" s="135"/>
      <c r="CL507" s="135"/>
      <c r="CM507" s="135"/>
      <c r="CN507" s="135"/>
      <c r="CO507" s="135"/>
      <c r="CP507" s="135"/>
      <c r="CQ507" s="135"/>
      <c r="CR507" s="135"/>
      <c r="CS507" s="135"/>
      <c r="CT507" s="135"/>
      <c r="CU507" s="135"/>
      <c r="CV507" s="135"/>
      <c r="CW507" s="135"/>
      <c r="CX507" s="135"/>
      <c r="CY507" s="135"/>
      <c r="CZ507" s="135"/>
      <c r="DA507" s="135"/>
      <c r="DB507" s="135"/>
      <c r="DC507" s="135"/>
      <c r="DD507" s="135"/>
      <c r="DE507" s="135"/>
      <c r="DF507" s="135"/>
      <c r="DG507" s="135"/>
      <c r="DH507" s="135"/>
      <c r="DI507" s="135"/>
      <c r="DJ507" s="135"/>
      <c r="DK507" s="135"/>
      <c r="DL507" s="135"/>
      <c r="DM507" s="135"/>
      <c r="DN507" s="135"/>
      <c r="DO507" s="135"/>
      <c r="DP507" s="135"/>
      <c r="DQ507" s="135"/>
      <c r="DR507" s="135"/>
      <c r="DS507" s="135"/>
      <c r="DT507" s="135"/>
      <c r="DU507" s="135"/>
      <c r="DV507" s="135"/>
      <c r="DW507" s="135"/>
      <c r="DX507" s="135"/>
      <c r="DY507" s="135"/>
      <c r="DZ507" s="135"/>
      <c r="EA507" s="135"/>
      <c r="EB507" s="135"/>
      <c r="EC507" s="135"/>
      <c r="ED507" s="135"/>
      <c r="EE507" s="135"/>
      <c r="EF507" s="135"/>
      <c r="EG507" s="135"/>
      <c r="EH507" s="135"/>
      <c r="EI507" s="135"/>
      <c r="EJ507" s="135"/>
      <c r="EK507" s="135"/>
      <c r="EL507" s="135"/>
      <c r="EM507" s="135"/>
      <c r="EN507" s="135"/>
      <c r="EO507" s="135"/>
      <c r="EP507" s="135"/>
      <c r="EQ507" s="135"/>
      <c r="ER507" s="135"/>
      <c r="ES507" s="135"/>
      <c r="ET507" s="135"/>
      <c r="EU507" s="135"/>
      <c r="EV507" s="135"/>
      <c r="EW507" s="135"/>
    </row>
    <row r="508" spans="2:153" s="141" customFormat="1" x14ac:dyDescent="0.2">
      <c r="B508" s="134"/>
      <c r="C508" s="135"/>
      <c r="D508" s="136"/>
      <c r="E508" s="136"/>
      <c r="F508" s="137"/>
      <c r="G508" s="138"/>
      <c r="H508" s="138"/>
      <c r="I508" s="463"/>
      <c r="J508" s="134"/>
      <c r="K508" s="139"/>
      <c r="L508" s="140"/>
      <c r="N508" s="134"/>
      <c r="O508" s="134"/>
      <c r="P508" s="134"/>
      <c r="Q508" s="134"/>
      <c r="R508" s="140"/>
      <c r="S508" s="135"/>
      <c r="T508" s="135"/>
      <c r="U508" s="135"/>
      <c r="V508" s="135"/>
      <c r="W508" s="135"/>
      <c r="X508" s="135"/>
      <c r="Y508" s="135"/>
      <c r="Z508" s="135"/>
      <c r="AA508" s="135"/>
      <c r="AB508" s="135"/>
      <c r="AC508" s="135"/>
      <c r="AD508" s="135"/>
      <c r="AE508" s="135"/>
      <c r="AF508" s="135"/>
      <c r="AG508" s="135"/>
      <c r="AH508" s="135"/>
      <c r="AI508" s="135"/>
      <c r="AJ508" s="135"/>
      <c r="AK508" s="135"/>
      <c r="AL508" s="135"/>
      <c r="AM508" s="135"/>
      <c r="AN508" s="135"/>
      <c r="AO508" s="135"/>
      <c r="AP508" s="135"/>
      <c r="AQ508" s="135"/>
      <c r="AR508" s="135"/>
      <c r="AS508" s="135"/>
      <c r="AT508" s="135"/>
      <c r="AU508" s="135"/>
      <c r="AV508" s="135"/>
      <c r="AW508" s="135"/>
      <c r="AX508" s="135"/>
      <c r="AY508" s="135"/>
      <c r="AZ508" s="135"/>
      <c r="BA508" s="135"/>
      <c r="BB508" s="135"/>
      <c r="BC508" s="135"/>
      <c r="BD508" s="135"/>
      <c r="BE508" s="135"/>
      <c r="BF508" s="135"/>
      <c r="BG508" s="135"/>
      <c r="BH508" s="135"/>
      <c r="BI508" s="135"/>
      <c r="BJ508" s="135"/>
      <c r="BK508" s="135"/>
      <c r="BL508" s="135"/>
      <c r="BM508" s="135"/>
      <c r="BN508" s="135"/>
      <c r="BO508" s="135"/>
      <c r="BP508" s="135"/>
      <c r="BQ508" s="135"/>
      <c r="BR508" s="135"/>
      <c r="BS508" s="135"/>
      <c r="BT508" s="135"/>
      <c r="BU508" s="135"/>
      <c r="BV508" s="135"/>
      <c r="BW508" s="135"/>
      <c r="BX508" s="135"/>
      <c r="BY508" s="135"/>
      <c r="BZ508" s="135"/>
      <c r="CA508" s="135"/>
      <c r="CB508" s="135"/>
      <c r="CC508" s="135"/>
      <c r="CD508" s="135"/>
      <c r="CE508" s="135"/>
      <c r="CF508" s="135"/>
      <c r="CG508" s="135"/>
      <c r="CH508" s="135"/>
      <c r="CI508" s="135"/>
      <c r="CJ508" s="135"/>
      <c r="CK508" s="135"/>
      <c r="CL508" s="135"/>
      <c r="CM508" s="135"/>
      <c r="CN508" s="135"/>
      <c r="CO508" s="135"/>
      <c r="CP508" s="135"/>
      <c r="CQ508" s="135"/>
      <c r="CR508" s="135"/>
      <c r="CS508" s="135"/>
      <c r="CT508" s="135"/>
      <c r="CU508" s="135"/>
      <c r="CV508" s="135"/>
      <c r="CW508" s="135"/>
      <c r="CX508" s="135"/>
      <c r="CY508" s="135"/>
      <c r="CZ508" s="135"/>
      <c r="DA508" s="135"/>
      <c r="DB508" s="135"/>
      <c r="DC508" s="135"/>
      <c r="DD508" s="135"/>
      <c r="DE508" s="135"/>
      <c r="DF508" s="135"/>
      <c r="DG508" s="135"/>
      <c r="DH508" s="135"/>
      <c r="DI508" s="135"/>
      <c r="DJ508" s="135"/>
      <c r="DK508" s="135"/>
      <c r="DL508" s="135"/>
      <c r="DM508" s="135"/>
      <c r="DN508" s="135"/>
      <c r="DO508" s="135"/>
      <c r="DP508" s="135"/>
      <c r="DQ508" s="135"/>
      <c r="DR508" s="135"/>
      <c r="DS508" s="135"/>
      <c r="DT508" s="135"/>
      <c r="DU508" s="135"/>
      <c r="DV508" s="135"/>
      <c r="DW508" s="135"/>
      <c r="DX508" s="135"/>
      <c r="DY508" s="135"/>
      <c r="DZ508" s="135"/>
      <c r="EA508" s="135"/>
      <c r="EB508" s="135"/>
      <c r="EC508" s="135"/>
      <c r="ED508" s="135"/>
      <c r="EE508" s="135"/>
      <c r="EF508" s="135"/>
      <c r="EG508" s="135"/>
      <c r="EH508" s="135"/>
      <c r="EI508" s="135"/>
      <c r="EJ508" s="135"/>
      <c r="EK508" s="135"/>
      <c r="EL508" s="135"/>
      <c r="EM508" s="135"/>
      <c r="EN508" s="135"/>
      <c r="EO508" s="135"/>
      <c r="EP508" s="135"/>
      <c r="EQ508" s="135"/>
      <c r="ER508" s="135"/>
      <c r="ES508" s="135"/>
      <c r="ET508" s="135"/>
      <c r="EU508" s="135"/>
      <c r="EV508" s="135"/>
      <c r="EW508" s="135"/>
    </row>
    <row r="509" spans="2:153" s="141" customFormat="1" x14ac:dyDescent="0.2">
      <c r="B509" s="134"/>
      <c r="C509" s="135"/>
      <c r="D509" s="136"/>
      <c r="E509" s="136"/>
      <c r="F509" s="137"/>
      <c r="G509" s="138"/>
      <c r="H509" s="138"/>
      <c r="I509" s="463"/>
      <c r="J509" s="134"/>
      <c r="K509" s="139"/>
      <c r="L509" s="140"/>
      <c r="N509" s="134"/>
      <c r="O509" s="134"/>
      <c r="P509" s="134"/>
      <c r="Q509" s="134"/>
      <c r="R509" s="140"/>
      <c r="S509" s="135"/>
      <c r="T509" s="135"/>
      <c r="U509" s="135"/>
      <c r="V509" s="135"/>
      <c r="W509" s="135"/>
      <c r="X509" s="135"/>
      <c r="Y509" s="135"/>
      <c r="Z509" s="135"/>
      <c r="AA509" s="135"/>
      <c r="AB509" s="135"/>
      <c r="AC509" s="135"/>
      <c r="AD509" s="135"/>
      <c r="AE509" s="135"/>
      <c r="AF509" s="135"/>
      <c r="AG509" s="135"/>
      <c r="AH509" s="135"/>
      <c r="AI509" s="135"/>
      <c r="AJ509" s="135"/>
      <c r="AK509" s="135"/>
      <c r="AL509" s="135"/>
      <c r="AM509" s="135"/>
      <c r="AN509" s="135"/>
      <c r="AO509" s="135"/>
      <c r="AP509" s="135"/>
      <c r="AQ509" s="135"/>
      <c r="AR509" s="135"/>
      <c r="AS509" s="135"/>
      <c r="AT509" s="135"/>
      <c r="AU509" s="135"/>
      <c r="AV509" s="135"/>
      <c r="AW509" s="135"/>
      <c r="AX509" s="135"/>
      <c r="AY509" s="135"/>
      <c r="AZ509" s="135"/>
      <c r="BA509" s="135"/>
      <c r="BB509" s="135"/>
      <c r="BC509" s="135"/>
      <c r="BD509" s="135"/>
      <c r="BE509" s="135"/>
      <c r="BF509" s="135"/>
      <c r="BG509" s="135"/>
      <c r="BH509" s="135"/>
      <c r="BI509" s="135"/>
      <c r="BJ509" s="135"/>
      <c r="BK509" s="135"/>
      <c r="BL509" s="135"/>
      <c r="BM509" s="135"/>
      <c r="BN509" s="135"/>
      <c r="BO509" s="135"/>
      <c r="BP509" s="135"/>
      <c r="BQ509" s="135"/>
      <c r="BR509" s="135"/>
      <c r="BS509" s="135"/>
      <c r="BT509" s="135"/>
      <c r="BU509" s="135"/>
      <c r="BV509" s="135"/>
      <c r="BW509" s="135"/>
      <c r="BX509" s="135"/>
      <c r="BY509" s="135"/>
      <c r="BZ509" s="135"/>
      <c r="CA509" s="135"/>
      <c r="CB509" s="135"/>
      <c r="CC509" s="135"/>
      <c r="CD509" s="135"/>
      <c r="CE509" s="135"/>
      <c r="CF509" s="135"/>
      <c r="CG509" s="135"/>
      <c r="CH509" s="135"/>
      <c r="CI509" s="135"/>
      <c r="CJ509" s="135"/>
      <c r="CK509" s="135"/>
      <c r="CL509" s="135"/>
      <c r="CM509" s="135"/>
      <c r="CN509" s="135"/>
      <c r="CO509" s="135"/>
      <c r="CP509" s="135"/>
      <c r="CQ509" s="135"/>
      <c r="CR509" s="135"/>
      <c r="CS509" s="135"/>
      <c r="CT509" s="135"/>
      <c r="CU509" s="135"/>
      <c r="CV509" s="135"/>
      <c r="CW509" s="135"/>
      <c r="CX509" s="135"/>
      <c r="CY509" s="135"/>
      <c r="CZ509" s="135"/>
      <c r="DA509" s="135"/>
      <c r="DB509" s="135"/>
      <c r="DC509" s="135"/>
      <c r="DD509" s="135"/>
      <c r="DE509" s="135"/>
      <c r="DF509" s="135"/>
      <c r="DG509" s="135"/>
      <c r="DH509" s="135"/>
      <c r="DI509" s="135"/>
      <c r="DJ509" s="135"/>
      <c r="DK509" s="135"/>
      <c r="DL509" s="135"/>
      <c r="DM509" s="135"/>
      <c r="DN509" s="135"/>
      <c r="DO509" s="135"/>
      <c r="DP509" s="135"/>
      <c r="DQ509" s="135"/>
      <c r="DR509" s="135"/>
      <c r="DS509" s="135"/>
      <c r="DT509" s="135"/>
      <c r="DU509" s="135"/>
      <c r="DV509" s="135"/>
      <c r="DW509" s="135"/>
      <c r="DX509" s="135"/>
      <c r="DY509" s="135"/>
      <c r="DZ509" s="135"/>
      <c r="EA509" s="135"/>
      <c r="EB509" s="135"/>
      <c r="EC509" s="135"/>
      <c r="ED509" s="135"/>
      <c r="EE509" s="135"/>
      <c r="EF509" s="135"/>
      <c r="EG509" s="135"/>
      <c r="EH509" s="135"/>
      <c r="EI509" s="135"/>
      <c r="EJ509" s="135"/>
      <c r="EK509" s="135"/>
      <c r="EL509" s="135"/>
      <c r="EM509" s="135"/>
      <c r="EN509" s="135"/>
      <c r="EO509" s="135"/>
      <c r="EP509" s="135"/>
      <c r="EQ509" s="135"/>
      <c r="ER509" s="135"/>
      <c r="ES509" s="135"/>
      <c r="ET509" s="135"/>
      <c r="EU509" s="135"/>
      <c r="EV509" s="135"/>
      <c r="EW509" s="135"/>
    </row>
    <row r="510" spans="2:153" s="141" customFormat="1" x14ac:dyDescent="0.2">
      <c r="B510" s="134"/>
      <c r="C510" s="135"/>
      <c r="D510" s="136"/>
      <c r="E510" s="136"/>
      <c r="F510" s="137"/>
      <c r="G510" s="138"/>
      <c r="H510" s="138"/>
      <c r="I510" s="463"/>
      <c r="J510" s="134"/>
      <c r="K510" s="139"/>
      <c r="L510" s="140"/>
      <c r="N510" s="134"/>
      <c r="O510" s="134"/>
      <c r="P510" s="134"/>
      <c r="Q510" s="134"/>
      <c r="R510" s="140"/>
      <c r="S510" s="135"/>
      <c r="T510" s="135"/>
      <c r="U510" s="135"/>
      <c r="V510" s="135"/>
      <c r="W510" s="135"/>
      <c r="X510" s="135"/>
      <c r="Y510" s="135"/>
      <c r="Z510" s="135"/>
      <c r="AA510" s="135"/>
      <c r="AB510" s="135"/>
      <c r="AC510" s="135"/>
      <c r="AD510" s="135"/>
      <c r="AE510" s="135"/>
      <c r="AF510" s="135"/>
      <c r="AG510" s="135"/>
      <c r="AH510" s="135"/>
      <c r="AI510" s="135"/>
      <c r="AJ510" s="135"/>
      <c r="AK510" s="135"/>
      <c r="AL510" s="135"/>
      <c r="AM510" s="135"/>
      <c r="AN510" s="135"/>
      <c r="AO510" s="135"/>
      <c r="AP510" s="135"/>
      <c r="AQ510" s="135"/>
      <c r="AR510" s="135"/>
      <c r="AS510" s="135"/>
      <c r="AT510" s="135"/>
      <c r="AU510" s="135"/>
      <c r="AV510" s="135"/>
      <c r="AW510" s="135"/>
      <c r="AX510" s="135"/>
      <c r="AY510" s="135"/>
      <c r="AZ510" s="135"/>
      <c r="BA510" s="135"/>
      <c r="BB510" s="135"/>
      <c r="BC510" s="135"/>
      <c r="BD510" s="135"/>
      <c r="BE510" s="135"/>
      <c r="BF510" s="135"/>
      <c r="BG510" s="135"/>
      <c r="BH510" s="135"/>
      <c r="BI510" s="135"/>
      <c r="BJ510" s="135"/>
      <c r="BK510" s="135"/>
      <c r="BL510" s="135"/>
      <c r="BM510" s="135"/>
      <c r="BN510" s="135"/>
      <c r="BO510" s="135"/>
      <c r="BP510" s="135"/>
      <c r="BQ510" s="135"/>
      <c r="BR510" s="135"/>
      <c r="BS510" s="135"/>
      <c r="BT510" s="135"/>
      <c r="BU510" s="135"/>
      <c r="BV510" s="135"/>
      <c r="BW510" s="135"/>
      <c r="BX510" s="135"/>
      <c r="BY510" s="135"/>
      <c r="BZ510" s="135"/>
      <c r="CA510" s="135"/>
      <c r="CB510" s="135"/>
      <c r="CC510" s="135"/>
      <c r="CD510" s="135"/>
      <c r="CE510" s="135"/>
      <c r="CF510" s="135"/>
      <c r="CG510" s="135"/>
      <c r="CH510" s="135"/>
      <c r="CI510" s="135"/>
      <c r="CJ510" s="135"/>
      <c r="CK510" s="135"/>
      <c r="CL510" s="135"/>
      <c r="CM510" s="135"/>
      <c r="CN510" s="135"/>
      <c r="CO510" s="135"/>
      <c r="CP510" s="135"/>
      <c r="CQ510" s="135"/>
      <c r="CR510" s="135"/>
      <c r="CS510" s="135"/>
      <c r="CT510" s="135"/>
      <c r="CU510" s="135"/>
      <c r="CV510" s="135"/>
      <c r="CW510" s="135"/>
      <c r="CX510" s="135"/>
      <c r="CY510" s="135"/>
      <c r="CZ510" s="135"/>
      <c r="DA510" s="135"/>
      <c r="DB510" s="135"/>
      <c r="DC510" s="135"/>
      <c r="DD510" s="135"/>
      <c r="DE510" s="135"/>
      <c r="DF510" s="135"/>
      <c r="DG510" s="135"/>
      <c r="DH510" s="135"/>
      <c r="DI510" s="135"/>
      <c r="DJ510" s="135"/>
      <c r="DK510" s="135"/>
      <c r="DL510" s="135"/>
      <c r="DM510" s="135"/>
      <c r="DN510" s="135"/>
      <c r="DO510" s="135"/>
      <c r="DP510" s="135"/>
      <c r="DQ510" s="135"/>
      <c r="DR510" s="135"/>
      <c r="DS510" s="135"/>
      <c r="DT510" s="135"/>
      <c r="DU510" s="135"/>
      <c r="DV510" s="135"/>
      <c r="DW510" s="135"/>
      <c r="DX510" s="135"/>
      <c r="DY510" s="135"/>
      <c r="DZ510" s="135"/>
      <c r="EA510" s="135"/>
      <c r="EB510" s="135"/>
      <c r="EC510" s="135"/>
      <c r="ED510" s="135"/>
      <c r="EE510" s="135"/>
      <c r="EF510" s="135"/>
      <c r="EG510" s="135"/>
      <c r="EH510" s="135"/>
      <c r="EI510" s="135"/>
      <c r="EJ510" s="135"/>
      <c r="EK510" s="135"/>
      <c r="EL510" s="135"/>
      <c r="EM510" s="135"/>
      <c r="EN510" s="135"/>
      <c r="EO510" s="135"/>
      <c r="EP510" s="135"/>
      <c r="EQ510" s="135"/>
      <c r="ER510" s="135"/>
      <c r="ES510" s="135"/>
      <c r="ET510" s="135"/>
      <c r="EU510" s="135"/>
      <c r="EV510" s="135"/>
      <c r="EW510" s="135"/>
    </row>
    <row r="511" spans="2:153" s="141" customFormat="1" x14ac:dyDescent="0.2">
      <c r="B511" s="134"/>
      <c r="C511" s="135"/>
      <c r="D511" s="136"/>
      <c r="E511" s="136"/>
      <c r="F511" s="137"/>
      <c r="G511" s="138"/>
      <c r="H511" s="138"/>
      <c r="I511" s="463"/>
      <c r="J511" s="134"/>
      <c r="K511" s="139"/>
      <c r="L511" s="140"/>
      <c r="N511" s="134"/>
      <c r="O511" s="134"/>
      <c r="P511" s="134"/>
      <c r="Q511" s="134"/>
      <c r="R511" s="140"/>
      <c r="S511" s="135"/>
      <c r="T511" s="135"/>
      <c r="U511" s="135"/>
      <c r="V511" s="135"/>
      <c r="W511" s="135"/>
      <c r="X511" s="135"/>
      <c r="Y511" s="135"/>
      <c r="Z511" s="135"/>
      <c r="AA511" s="135"/>
      <c r="AB511" s="135"/>
      <c r="AC511" s="135"/>
      <c r="AD511" s="135"/>
      <c r="AE511" s="135"/>
      <c r="AF511" s="135"/>
      <c r="AG511" s="135"/>
      <c r="AH511" s="135"/>
      <c r="AI511" s="135"/>
      <c r="AJ511" s="135"/>
      <c r="AK511" s="135"/>
      <c r="AL511" s="135"/>
      <c r="AM511" s="135"/>
      <c r="AN511" s="135"/>
      <c r="AO511" s="135"/>
      <c r="AP511" s="135"/>
      <c r="AQ511" s="135"/>
      <c r="AR511" s="135"/>
      <c r="AS511" s="135"/>
      <c r="AT511" s="135"/>
      <c r="AU511" s="135"/>
      <c r="AV511" s="135"/>
      <c r="AW511" s="135"/>
      <c r="AX511" s="135"/>
      <c r="AY511" s="135"/>
      <c r="AZ511" s="135"/>
      <c r="BA511" s="135"/>
      <c r="BB511" s="135"/>
      <c r="BC511" s="135"/>
      <c r="BD511" s="135"/>
      <c r="BE511" s="135"/>
      <c r="BF511" s="135"/>
      <c r="BG511" s="135"/>
      <c r="BH511" s="135"/>
      <c r="BI511" s="135"/>
      <c r="BJ511" s="135"/>
      <c r="BK511" s="135"/>
      <c r="BL511" s="135"/>
      <c r="BM511" s="135"/>
      <c r="BN511" s="135"/>
      <c r="BO511" s="135"/>
      <c r="BP511" s="135"/>
      <c r="BQ511" s="135"/>
      <c r="BR511" s="135"/>
      <c r="BS511" s="135"/>
      <c r="BT511" s="135"/>
      <c r="BU511" s="135"/>
      <c r="BV511" s="135"/>
      <c r="BW511" s="135"/>
      <c r="BX511" s="135"/>
      <c r="BY511" s="135"/>
      <c r="BZ511" s="135"/>
      <c r="CA511" s="135"/>
      <c r="CB511" s="135"/>
      <c r="CC511" s="135"/>
      <c r="CD511" s="135"/>
      <c r="CE511" s="135"/>
      <c r="CF511" s="135"/>
      <c r="CG511" s="135"/>
      <c r="CH511" s="135"/>
      <c r="CI511" s="135"/>
      <c r="CJ511" s="135"/>
      <c r="CK511" s="135"/>
      <c r="CL511" s="135"/>
      <c r="CM511" s="135"/>
      <c r="CN511" s="135"/>
      <c r="CO511" s="135"/>
      <c r="CP511" s="135"/>
      <c r="CQ511" s="135"/>
      <c r="CR511" s="135"/>
      <c r="CS511" s="135"/>
      <c r="CT511" s="135"/>
      <c r="CU511" s="135"/>
      <c r="CV511" s="135"/>
      <c r="CW511" s="135"/>
      <c r="CX511" s="135"/>
      <c r="CY511" s="135"/>
      <c r="CZ511" s="135"/>
      <c r="DA511" s="135"/>
      <c r="DB511" s="135"/>
      <c r="DC511" s="135"/>
      <c r="DD511" s="135"/>
      <c r="DE511" s="135"/>
      <c r="DF511" s="135"/>
      <c r="DG511" s="135"/>
      <c r="DH511" s="135"/>
      <c r="DI511" s="135"/>
      <c r="DJ511" s="135"/>
      <c r="DK511" s="135"/>
      <c r="DL511" s="135"/>
      <c r="DM511" s="135"/>
      <c r="DN511" s="135"/>
      <c r="DO511" s="135"/>
      <c r="DP511" s="135"/>
      <c r="DQ511" s="135"/>
      <c r="DR511" s="135"/>
      <c r="DS511" s="135"/>
      <c r="DT511" s="135"/>
      <c r="DU511" s="135"/>
      <c r="DV511" s="135"/>
      <c r="DW511" s="135"/>
      <c r="DX511" s="135"/>
      <c r="DY511" s="135"/>
      <c r="DZ511" s="135"/>
      <c r="EA511" s="135"/>
      <c r="EB511" s="135"/>
      <c r="EC511" s="135"/>
      <c r="ED511" s="135"/>
      <c r="EE511" s="135"/>
      <c r="EF511" s="135"/>
      <c r="EG511" s="135"/>
      <c r="EH511" s="135"/>
      <c r="EI511" s="135"/>
      <c r="EJ511" s="135"/>
      <c r="EK511" s="135"/>
      <c r="EL511" s="135"/>
      <c r="EM511" s="135"/>
      <c r="EN511" s="135"/>
      <c r="EO511" s="135"/>
      <c r="EP511" s="135"/>
      <c r="EQ511" s="135"/>
      <c r="ER511" s="135"/>
      <c r="ES511" s="135"/>
      <c r="ET511" s="135"/>
      <c r="EU511" s="135"/>
      <c r="EV511" s="135"/>
      <c r="EW511" s="135"/>
    </row>
    <row r="512" spans="2:153" s="141" customFormat="1" x14ac:dyDescent="0.2">
      <c r="B512" s="134"/>
      <c r="C512" s="135"/>
      <c r="D512" s="136"/>
      <c r="E512" s="136"/>
      <c r="F512" s="137"/>
      <c r="G512" s="138"/>
      <c r="H512" s="138"/>
      <c r="I512" s="463"/>
      <c r="J512" s="134"/>
      <c r="K512" s="139"/>
      <c r="L512" s="140"/>
      <c r="N512" s="134"/>
      <c r="O512" s="134"/>
      <c r="P512" s="134"/>
      <c r="Q512" s="134"/>
      <c r="R512" s="140"/>
      <c r="S512" s="135"/>
      <c r="T512" s="135"/>
      <c r="U512" s="135"/>
      <c r="V512" s="135"/>
      <c r="W512" s="135"/>
      <c r="X512" s="135"/>
      <c r="Y512" s="135"/>
      <c r="Z512" s="135"/>
      <c r="AA512" s="135"/>
      <c r="AB512" s="135"/>
      <c r="AC512" s="135"/>
      <c r="AD512" s="135"/>
      <c r="AE512" s="135"/>
      <c r="AF512" s="135"/>
      <c r="AG512" s="135"/>
      <c r="AH512" s="135"/>
      <c r="AI512" s="135"/>
      <c r="AJ512" s="135"/>
      <c r="AK512" s="135"/>
      <c r="AL512" s="135"/>
      <c r="AM512" s="135"/>
      <c r="AN512" s="135"/>
      <c r="AO512" s="135"/>
      <c r="AP512" s="135"/>
      <c r="AQ512" s="135"/>
      <c r="AR512" s="135"/>
      <c r="AS512" s="135"/>
      <c r="AT512" s="135"/>
      <c r="AU512" s="135"/>
      <c r="AV512" s="135"/>
      <c r="AW512" s="135"/>
      <c r="AX512" s="135"/>
      <c r="AY512" s="135"/>
      <c r="AZ512" s="135"/>
      <c r="BA512" s="135"/>
      <c r="BB512" s="135"/>
      <c r="BC512" s="135"/>
      <c r="BD512" s="135"/>
      <c r="BE512" s="135"/>
      <c r="BF512" s="135"/>
      <c r="BG512" s="135"/>
      <c r="BH512" s="135"/>
      <c r="BI512" s="135"/>
      <c r="BJ512" s="135"/>
      <c r="BK512" s="135"/>
      <c r="BL512" s="135"/>
      <c r="BM512" s="135"/>
      <c r="BN512" s="135"/>
      <c r="BO512" s="135"/>
      <c r="BP512" s="135"/>
      <c r="BQ512" s="135"/>
      <c r="BR512" s="135"/>
      <c r="BS512" s="135"/>
      <c r="BT512" s="135"/>
      <c r="BU512" s="135"/>
      <c r="BV512" s="135"/>
      <c r="BW512" s="135"/>
      <c r="BX512" s="135"/>
      <c r="BY512" s="135"/>
      <c r="BZ512" s="135"/>
      <c r="CA512" s="135"/>
      <c r="CB512" s="135"/>
      <c r="CC512" s="135"/>
      <c r="CD512" s="135"/>
      <c r="CE512" s="135"/>
      <c r="CF512" s="135"/>
      <c r="CG512" s="135"/>
      <c r="CH512" s="135"/>
      <c r="CI512" s="135"/>
      <c r="CJ512" s="135"/>
      <c r="CK512" s="135"/>
      <c r="CL512" s="135"/>
      <c r="CM512" s="135"/>
      <c r="CN512" s="135"/>
      <c r="CO512" s="135"/>
      <c r="CP512" s="135"/>
      <c r="CQ512" s="135"/>
      <c r="CR512" s="135"/>
      <c r="CS512" s="135"/>
      <c r="CT512" s="135"/>
      <c r="CU512" s="135"/>
      <c r="CV512" s="135"/>
      <c r="CW512" s="135"/>
      <c r="CX512" s="135"/>
      <c r="CY512" s="135"/>
      <c r="CZ512" s="135"/>
      <c r="DA512" s="135"/>
      <c r="DB512" s="135"/>
      <c r="DC512" s="135"/>
      <c r="DD512" s="135"/>
      <c r="DE512" s="135"/>
      <c r="DF512" s="135"/>
      <c r="DG512" s="135"/>
      <c r="DH512" s="135"/>
      <c r="DI512" s="135"/>
      <c r="DJ512" s="135"/>
      <c r="DK512" s="135"/>
      <c r="DL512" s="135"/>
      <c r="DM512" s="135"/>
      <c r="DN512" s="135"/>
      <c r="DO512" s="135"/>
      <c r="DP512" s="135"/>
      <c r="DQ512" s="135"/>
      <c r="DR512" s="135"/>
      <c r="DS512" s="135"/>
      <c r="DT512" s="135"/>
      <c r="DU512" s="135"/>
      <c r="DV512" s="135"/>
      <c r="DW512" s="135"/>
      <c r="DX512" s="135"/>
      <c r="DY512" s="135"/>
      <c r="DZ512" s="135"/>
      <c r="EA512" s="135"/>
      <c r="EB512" s="135"/>
      <c r="EC512" s="135"/>
      <c r="ED512" s="135"/>
      <c r="EE512" s="135"/>
      <c r="EF512" s="135"/>
      <c r="EG512" s="135"/>
      <c r="EH512" s="135"/>
      <c r="EI512" s="135"/>
      <c r="EJ512" s="135"/>
      <c r="EK512" s="135"/>
      <c r="EL512" s="135"/>
      <c r="EM512" s="135"/>
      <c r="EN512" s="135"/>
      <c r="EO512" s="135"/>
      <c r="EP512" s="135"/>
      <c r="EQ512" s="135"/>
      <c r="ER512" s="135"/>
      <c r="ES512" s="135"/>
      <c r="ET512" s="135"/>
      <c r="EU512" s="135"/>
      <c r="EV512" s="135"/>
      <c r="EW512" s="135"/>
    </row>
    <row r="513" spans="2:153" s="141" customFormat="1" x14ac:dyDescent="0.2">
      <c r="B513" s="134"/>
      <c r="C513" s="135"/>
      <c r="D513" s="136"/>
      <c r="E513" s="136"/>
      <c r="F513" s="137"/>
      <c r="G513" s="138"/>
      <c r="H513" s="138"/>
      <c r="I513" s="463"/>
      <c r="J513" s="134"/>
      <c r="K513" s="139"/>
      <c r="L513" s="140"/>
      <c r="N513" s="134"/>
      <c r="O513" s="134"/>
      <c r="P513" s="134"/>
      <c r="Q513" s="134"/>
      <c r="R513" s="140"/>
      <c r="S513" s="135"/>
      <c r="T513" s="135"/>
      <c r="U513" s="135"/>
      <c r="V513" s="135"/>
      <c r="W513" s="135"/>
      <c r="X513" s="135"/>
      <c r="Y513" s="135"/>
      <c r="Z513" s="135"/>
      <c r="AA513" s="135"/>
      <c r="AB513" s="135"/>
      <c r="AC513" s="135"/>
      <c r="AD513" s="135"/>
      <c r="AE513" s="135"/>
      <c r="AF513" s="135"/>
      <c r="AG513" s="135"/>
      <c r="AH513" s="135"/>
      <c r="AI513" s="135"/>
      <c r="AJ513" s="135"/>
      <c r="AK513" s="135"/>
      <c r="AL513" s="135"/>
      <c r="AM513" s="135"/>
      <c r="AN513" s="135"/>
      <c r="AO513" s="135"/>
      <c r="AP513" s="135"/>
      <c r="AQ513" s="135"/>
      <c r="AR513" s="135"/>
      <c r="AS513" s="135"/>
      <c r="AT513" s="135"/>
      <c r="AU513" s="135"/>
      <c r="AV513" s="135"/>
      <c r="AW513" s="135"/>
      <c r="AX513" s="135"/>
      <c r="AY513" s="135"/>
      <c r="AZ513" s="135"/>
      <c r="BA513" s="135"/>
      <c r="BB513" s="135"/>
      <c r="BC513" s="135"/>
      <c r="BD513" s="135"/>
      <c r="BE513" s="135"/>
      <c r="BF513" s="135"/>
      <c r="BG513" s="135"/>
      <c r="BH513" s="135"/>
      <c r="BI513" s="135"/>
      <c r="BJ513" s="135"/>
      <c r="BK513" s="135"/>
      <c r="BL513" s="135"/>
      <c r="BM513" s="135"/>
      <c r="BN513" s="135"/>
      <c r="BO513" s="135"/>
      <c r="BP513" s="135"/>
      <c r="BQ513" s="135"/>
      <c r="BR513" s="135"/>
      <c r="BS513" s="135"/>
      <c r="BT513" s="135"/>
      <c r="BU513" s="135"/>
      <c r="BV513" s="135"/>
      <c r="BW513" s="135"/>
      <c r="BX513" s="135"/>
      <c r="BY513" s="135"/>
      <c r="BZ513" s="135"/>
      <c r="CA513" s="135"/>
      <c r="CB513" s="135"/>
      <c r="CC513" s="135"/>
      <c r="CD513" s="135"/>
      <c r="CE513" s="135"/>
      <c r="CF513" s="135"/>
      <c r="CG513" s="135"/>
      <c r="CH513" s="135"/>
      <c r="CI513" s="135"/>
      <c r="CJ513" s="135"/>
      <c r="CK513" s="135"/>
      <c r="CL513" s="135"/>
      <c r="CM513" s="135"/>
      <c r="CN513" s="135"/>
      <c r="CO513" s="135"/>
      <c r="CP513" s="135"/>
      <c r="CQ513" s="135"/>
      <c r="CR513" s="135"/>
      <c r="CS513" s="135"/>
      <c r="CT513" s="135"/>
      <c r="CU513" s="135"/>
      <c r="CV513" s="135"/>
      <c r="CW513" s="135"/>
      <c r="CX513" s="135"/>
      <c r="CY513" s="135"/>
      <c r="CZ513" s="135"/>
      <c r="DA513" s="135"/>
      <c r="DB513" s="135"/>
      <c r="DC513" s="135"/>
      <c r="DD513" s="135"/>
      <c r="DE513" s="135"/>
      <c r="DF513" s="135"/>
      <c r="DG513" s="135"/>
      <c r="DH513" s="135"/>
      <c r="DI513" s="135"/>
      <c r="DJ513" s="135"/>
      <c r="DK513" s="135"/>
      <c r="DL513" s="135"/>
      <c r="DM513" s="135"/>
      <c r="DN513" s="135"/>
      <c r="DO513" s="135"/>
      <c r="DP513" s="135"/>
      <c r="DQ513" s="135"/>
      <c r="DR513" s="135"/>
      <c r="DS513" s="135"/>
      <c r="DT513" s="135"/>
      <c r="DU513" s="135"/>
      <c r="DV513" s="135"/>
      <c r="DW513" s="135"/>
      <c r="DX513" s="135"/>
      <c r="DY513" s="135"/>
      <c r="DZ513" s="135"/>
      <c r="EA513" s="135"/>
      <c r="EB513" s="135"/>
      <c r="EC513" s="135"/>
      <c r="ED513" s="135"/>
      <c r="EE513" s="135"/>
      <c r="EF513" s="135"/>
      <c r="EG513" s="135"/>
      <c r="EH513" s="135"/>
      <c r="EI513" s="135"/>
      <c r="EJ513" s="135"/>
      <c r="EK513" s="135"/>
      <c r="EL513" s="135"/>
      <c r="EM513" s="135"/>
      <c r="EN513" s="135"/>
      <c r="EO513" s="135"/>
      <c r="EP513" s="135"/>
      <c r="EQ513" s="135"/>
      <c r="ER513" s="135"/>
      <c r="ES513" s="135"/>
      <c r="ET513" s="135"/>
      <c r="EU513" s="135"/>
      <c r="EV513" s="135"/>
      <c r="EW513" s="135"/>
    </row>
    <row r="514" spans="2:153" s="141" customFormat="1" x14ac:dyDescent="0.2">
      <c r="B514" s="134"/>
      <c r="C514" s="135"/>
      <c r="D514" s="136"/>
      <c r="E514" s="136"/>
      <c r="F514" s="137"/>
      <c r="G514" s="138"/>
      <c r="H514" s="138"/>
      <c r="I514" s="463"/>
      <c r="J514" s="134"/>
      <c r="K514" s="139"/>
      <c r="L514" s="140"/>
      <c r="N514" s="134"/>
      <c r="O514" s="134"/>
      <c r="P514" s="134"/>
      <c r="Q514" s="134"/>
      <c r="R514" s="140"/>
      <c r="S514" s="135"/>
      <c r="T514" s="135"/>
      <c r="U514" s="135"/>
      <c r="V514" s="135"/>
      <c r="W514" s="135"/>
      <c r="X514" s="135"/>
      <c r="Y514" s="135"/>
      <c r="Z514" s="135"/>
      <c r="AA514" s="135"/>
      <c r="AB514" s="135"/>
      <c r="AC514" s="135"/>
      <c r="AD514" s="135"/>
      <c r="AE514" s="135"/>
      <c r="AF514" s="135"/>
      <c r="AG514" s="135"/>
      <c r="AH514" s="135"/>
      <c r="AI514" s="135"/>
      <c r="AJ514" s="135"/>
      <c r="AK514" s="135"/>
      <c r="AL514" s="135"/>
      <c r="AM514" s="135"/>
      <c r="AN514" s="135"/>
      <c r="AO514" s="135"/>
      <c r="AP514" s="135"/>
      <c r="AQ514" s="135"/>
      <c r="AR514" s="135"/>
      <c r="AS514" s="135"/>
      <c r="AT514" s="135"/>
      <c r="AU514" s="135"/>
      <c r="AV514" s="135"/>
      <c r="AW514" s="135"/>
      <c r="AX514" s="135"/>
      <c r="AY514" s="135"/>
      <c r="AZ514" s="135"/>
      <c r="BA514" s="135"/>
      <c r="BB514" s="135"/>
      <c r="BC514" s="135"/>
      <c r="BD514" s="135"/>
      <c r="BE514" s="135"/>
      <c r="BF514" s="135"/>
      <c r="BG514" s="135"/>
      <c r="BH514" s="135"/>
      <c r="BI514" s="135"/>
      <c r="BJ514" s="135"/>
      <c r="BK514" s="135"/>
      <c r="BL514" s="135"/>
      <c r="BM514" s="135"/>
      <c r="BN514" s="135"/>
      <c r="BO514" s="135"/>
      <c r="BP514" s="135"/>
      <c r="BQ514" s="135"/>
      <c r="BR514" s="135"/>
      <c r="BS514" s="135"/>
      <c r="BT514" s="135"/>
      <c r="BU514" s="135"/>
      <c r="BV514" s="135"/>
      <c r="BW514" s="135"/>
      <c r="BX514" s="135"/>
      <c r="BY514" s="135"/>
      <c r="BZ514" s="135"/>
      <c r="CA514" s="135"/>
      <c r="CB514" s="135"/>
      <c r="CC514" s="135"/>
      <c r="CD514" s="135"/>
      <c r="CE514" s="135"/>
      <c r="CF514" s="135"/>
      <c r="CG514" s="135"/>
      <c r="CH514" s="135"/>
      <c r="CI514" s="135"/>
      <c r="CJ514" s="135"/>
      <c r="CK514" s="135"/>
      <c r="CL514" s="135"/>
      <c r="CM514" s="135"/>
      <c r="CN514" s="135"/>
      <c r="CO514" s="135"/>
      <c r="CP514" s="135"/>
      <c r="CQ514" s="135"/>
      <c r="CR514" s="135"/>
      <c r="CS514" s="135"/>
      <c r="CT514" s="135"/>
      <c r="CU514" s="135"/>
      <c r="CV514" s="135"/>
      <c r="CW514" s="135"/>
      <c r="CX514" s="135"/>
      <c r="CY514" s="135"/>
      <c r="CZ514" s="135"/>
      <c r="DA514" s="135"/>
      <c r="DB514" s="135"/>
      <c r="DC514" s="135"/>
      <c r="DD514" s="135"/>
      <c r="DE514" s="135"/>
      <c r="DF514" s="135"/>
      <c r="DG514" s="135"/>
      <c r="DH514" s="135"/>
      <c r="DI514" s="135"/>
      <c r="DJ514" s="135"/>
      <c r="DK514" s="135"/>
      <c r="DL514" s="135"/>
      <c r="DM514" s="135"/>
      <c r="DN514" s="135"/>
      <c r="DO514" s="135"/>
      <c r="DP514" s="135"/>
      <c r="DQ514" s="135"/>
      <c r="DR514" s="135"/>
      <c r="DS514" s="135"/>
      <c r="DT514" s="135"/>
      <c r="DU514" s="135"/>
      <c r="DV514" s="135"/>
      <c r="DW514" s="135"/>
      <c r="DX514" s="135"/>
      <c r="DY514" s="135"/>
      <c r="DZ514" s="135"/>
      <c r="EA514" s="135"/>
      <c r="EB514" s="135"/>
      <c r="EC514" s="135"/>
      <c r="ED514" s="135"/>
      <c r="EE514" s="135"/>
      <c r="EF514" s="135"/>
      <c r="EG514" s="135"/>
      <c r="EH514" s="135"/>
      <c r="EI514" s="135"/>
      <c r="EJ514" s="135"/>
      <c r="EK514" s="135"/>
      <c r="EL514" s="135"/>
      <c r="EM514" s="135"/>
      <c r="EN514" s="135"/>
      <c r="EO514" s="135"/>
      <c r="EP514" s="135"/>
      <c r="EQ514" s="135"/>
      <c r="ER514" s="135"/>
      <c r="ES514" s="135"/>
      <c r="ET514" s="135"/>
      <c r="EU514" s="135"/>
      <c r="EV514" s="135"/>
      <c r="EW514" s="135"/>
    </row>
    <row r="515" spans="2:153" s="141" customFormat="1" x14ac:dyDescent="0.2">
      <c r="B515" s="134"/>
      <c r="C515" s="135"/>
      <c r="D515" s="136"/>
      <c r="E515" s="136"/>
      <c r="F515" s="137"/>
      <c r="G515" s="138"/>
      <c r="H515" s="138"/>
      <c r="I515" s="463"/>
      <c r="J515" s="134"/>
      <c r="K515" s="139"/>
      <c r="L515" s="140"/>
      <c r="N515" s="134"/>
      <c r="O515" s="134"/>
      <c r="P515" s="134"/>
      <c r="Q515" s="134"/>
      <c r="R515" s="140"/>
      <c r="S515" s="135"/>
      <c r="T515" s="135"/>
      <c r="U515" s="135"/>
      <c r="V515" s="135"/>
      <c r="W515" s="135"/>
      <c r="X515" s="135"/>
      <c r="Y515" s="135"/>
      <c r="Z515" s="135"/>
      <c r="AA515" s="135"/>
      <c r="AB515" s="135"/>
      <c r="AC515" s="135"/>
      <c r="AD515" s="135"/>
      <c r="AE515" s="135"/>
      <c r="AF515" s="135"/>
      <c r="AG515" s="135"/>
      <c r="AH515" s="135"/>
      <c r="AI515" s="135"/>
      <c r="AJ515" s="135"/>
      <c r="AK515" s="135"/>
      <c r="AL515" s="135"/>
      <c r="AM515" s="135"/>
      <c r="AN515" s="135"/>
      <c r="AO515" s="135"/>
      <c r="AP515" s="135"/>
      <c r="AQ515" s="135"/>
      <c r="AR515" s="135"/>
      <c r="AS515" s="135"/>
      <c r="AT515" s="135"/>
      <c r="AU515" s="135"/>
      <c r="AV515" s="135"/>
      <c r="AW515" s="135"/>
      <c r="AX515" s="135"/>
      <c r="AY515" s="135"/>
      <c r="AZ515" s="135"/>
      <c r="BA515" s="135"/>
      <c r="BB515" s="135"/>
      <c r="BC515" s="135"/>
      <c r="BD515" s="135"/>
      <c r="BE515" s="135"/>
      <c r="BF515" s="135"/>
      <c r="BG515" s="135"/>
      <c r="BH515" s="135"/>
      <c r="BI515" s="135"/>
      <c r="BJ515" s="135"/>
      <c r="BK515" s="135"/>
      <c r="BL515" s="135"/>
      <c r="BM515" s="135"/>
      <c r="BN515" s="135"/>
      <c r="BO515" s="135"/>
      <c r="BP515" s="135"/>
      <c r="BQ515" s="135"/>
      <c r="BR515" s="135"/>
      <c r="BS515" s="135"/>
      <c r="BT515" s="135"/>
      <c r="BU515" s="135"/>
      <c r="BV515" s="135"/>
      <c r="BW515" s="135"/>
      <c r="BX515" s="135"/>
      <c r="BY515" s="135"/>
      <c r="BZ515" s="135"/>
      <c r="CA515" s="135"/>
      <c r="CB515" s="135"/>
      <c r="CC515" s="135"/>
      <c r="CD515" s="135"/>
      <c r="CE515" s="135"/>
      <c r="CF515" s="135"/>
      <c r="CG515" s="135"/>
      <c r="CH515" s="135"/>
      <c r="CI515" s="135"/>
      <c r="CJ515" s="135"/>
      <c r="CK515" s="135"/>
      <c r="CL515" s="135"/>
      <c r="CM515" s="135"/>
      <c r="CN515" s="135"/>
      <c r="CO515" s="135"/>
      <c r="CP515" s="135"/>
      <c r="CQ515" s="135"/>
      <c r="CR515" s="135"/>
      <c r="CS515" s="135"/>
      <c r="CT515" s="135"/>
      <c r="CU515" s="135"/>
      <c r="CV515" s="135"/>
      <c r="CW515" s="135"/>
      <c r="CX515" s="135"/>
      <c r="CY515" s="135"/>
      <c r="CZ515" s="135"/>
      <c r="DA515" s="135"/>
      <c r="DB515" s="135"/>
      <c r="DC515" s="135"/>
      <c r="DD515" s="135"/>
      <c r="DE515" s="135"/>
      <c r="DF515" s="135"/>
      <c r="DG515" s="135"/>
      <c r="DH515" s="135"/>
      <c r="DI515" s="135"/>
      <c r="DJ515" s="135"/>
      <c r="DK515" s="135"/>
      <c r="DL515" s="135"/>
      <c r="DM515" s="135"/>
      <c r="DN515" s="135"/>
      <c r="DO515" s="135"/>
      <c r="DP515" s="135"/>
      <c r="DQ515" s="135"/>
      <c r="DR515" s="135"/>
      <c r="DS515" s="135"/>
      <c r="DT515" s="135"/>
      <c r="DU515" s="135"/>
      <c r="DV515" s="135"/>
      <c r="DW515" s="135"/>
      <c r="DX515" s="135"/>
      <c r="DY515" s="135"/>
      <c r="DZ515" s="135"/>
      <c r="EA515" s="135"/>
      <c r="EB515" s="135"/>
      <c r="EC515" s="135"/>
      <c r="ED515" s="135"/>
      <c r="EE515" s="135"/>
      <c r="EF515" s="135"/>
      <c r="EG515" s="135"/>
      <c r="EH515" s="135"/>
      <c r="EI515" s="135"/>
      <c r="EJ515" s="135"/>
      <c r="EK515" s="135"/>
      <c r="EL515" s="135"/>
      <c r="EM515" s="135"/>
      <c r="EN515" s="135"/>
      <c r="EO515" s="135"/>
      <c r="EP515" s="135"/>
      <c r="EQ515" s="135"/>
      <c r="ER515" s="135"/>
      <c r="ES515" s="135"/>
      <c r="ET515" s="135"/>
      <c r="EU515" s="135"/>
      <c r="EV515" s="135"/>
      <c r="EW515" s="135"/>
    </row>
    <row r="516" spans="2:153" s="141" customFormat="1" x14ac:dyDescent="0.2">
      <c r="B516" s="134"/>
      <c r="C516" s="135"/>
      <c r="D516" s="136"/>
      <c r="E516" s="136"/>
      <c r="F516" s="137"/>
      <c r="G516" s="138"/>
      <c r="H516" s="138"/>
      <c r="I516" s="463"/>
      <c r="J516" s="134"/>
      <c r="K516" s="139"/>
      <c r="L516" s="140"/>
      <c r="N516" s="134"/>
      <c r="O516" s="134"/>
      <c r="P516" s="134"/>
      <c r="Q516" s="134"/>
      <c r="R516" s="140"/>
      <c r="S516" s="135"/>
      <c r="T516" s="135"/>
      <c r="U516" s="135"/>
      <c r="V516" s="135"/>
      <c r="W516" s="135"/>
      <c r="X516" s="135"/>
      <c r="Y516" s="135"/>
      <c r="Z516" s="135"/>
      <c r="AA516" s="135"/>
      <c r="AB516" s="135"/>
      <c r="AC516" s="135"/>
      <c r="AD516" s="135"/>
      <c r="AE516" s="135"/>
      <c r="AF516" s="135"/>
      <c r="AG516" s="135"/>
      <c r="AH516" s="135"/>
      <c r="AI516" s="135"/>
      <c r="AJ516" s="135"/>
      <c r="AK516" s="135"/>
      <c r="AL516" s="135"/>
      <c r="AM516" s="135"/>
      <c r="AN516" s="135"/>
      <c r="AO516" s="135"/>
      <c r="AP516" s="135"/>
      <c r="AQ516" s="135"/>
      <c r="AR516" s="135"/>
      <c r="AS516" s="135"/>
      <c r="AT516" s="135"/>
      <c r="AU516" s="135"/>
      <c r="AV516" s="135"/>
      <c r="AW516" s="135"/>
      <c r="AX516" s="135"/>
      <c r="AY516" s="135"/>
      <c r="AZ516" s="135"/>
      <c r="BA516" s="135"/>
      <c r="BB516" s="135"/>
      <c r="BC516" s="135"/>
      <c r="BD516" s="135"/>
      <c r="BE516" s="135"/>
      <c r="BF516" s="135"/>
      <c r="BG516" s="135"/>
      <c r="BH516" s="135"/>
      <c r="BI516" s="135"/>
      <c r="BJ516" s="135"/>
      <c r="BK516" s="135"/>
      <c r="BL516" s="135"/>
      <c r="BM516" s="135"/>
      <c r="BN516" s="135"/>
      <c r="BO516" s="135"/>
      <c r="BP516" s="135"/>
      <c r="BQ516" s="135"/>
      <c r="BR516" s="135"/>
      <c r="BS516" s="135"/>
      <c r="BT516" s="135"/>
      <c r="BU516" s="135"/>
      <c r="BV516" s="135"/>
      <c r="BW516" s="135"/>
      <c r="BX516" s="135"/>
      <c r="BY516" s="135"/>
      <c r="BZ516" s="135"/>
      <c r="CA516" s="135"/>
      <c r="CB516" s="135"/>
      <c r="CC516" s="135"/>
      <c r="CD516" s="135"/>
      <c r="CE516" s="135"/>
      <c r="CF516" s="135"/>
      <c r="CG516" s="135"/>
      <c r="CH516" s="135"/>
      <c r="CI516" s="135"/>
      <c r="CJ516" s="135"/>
      <c r="CK516" s="135"/>
      <c r="CL516" s="135"/>
      <c r="CM516" s="135"/>
      <c r="CN516" s="135"/>
      <c r="CO516" s="135"/>
      <c r="CP516" s="135"/>
      <c r="CQ516" s="135"/>
      <c r="CR516" s="135"/>
      <c r="CS516" s="135"/>
      <c r="CT516" s="135"/>
      <c r="CU516" s="135"/>
      <c r="CV516" s="135"/>
      <c r="CW516" s="135"/>
      <c r="CX516" s="135"/>
      <c r="CY516" s="135"/>
      <c r="CZ516" s="135"/>
      <c r="DA516" s="135"/>
      <c r="DB516" s="135"/>
      <c r="DC516" s="135"/>
      <c r="DD516" s="135"/>
      <c r="DE516" s="135"/>
      <c r="DF516" s="135"/>
      <c r="DG516" s="135"/>
      <c r="DH516" s="135"/>
      <c r="DI516" s="135"/>
      <c r="DJ516" s="135"/>
      <c r="DK516" s="135"/>
      <c r="DL516" s="135"/>
      <c r="DM516" s="135"/>
      <c r="DN516" s="135"/>
      <c r="DO516" s="135"/>
      <c r="DP516" s="135"/>
      <c r="DQ516" s="135"/>
      <c r="DR516" s="135"/>
      <c r="DS516" s="135"/>
      <c r="DT516" s="135"/>
      <c r="DU516" s="135"/>
      <c r="DV516" s="135"/>
      <c r="DW516" s="135"/>
      <c r="DX516" s="135"/>
      <c r="DY516" s="135"/>
      <c r="DZ516" s="135"/>
      <c r="EA516" s="135"/>
      <c r="EB516" s="135"/>
      <c r="EC516" s="135"/>
      <c r="ED516" s="135"/>
      <c r="EE516" s="135"/>
      <c r="EF516" s="135"/>
      <c r="EG516" s="135"/>
      <c r="EH516" s="135"/>
      <c r="EI516" s="135"/>
      <c r="EJ516" s="135"/>
      <c r="EK516" s="135"/>
      <c r="EL516" s="135"/>
      <c r="EM516" s="135"/>
      <c r="EN516" s="135"/>
      <c r="EO516" s="135"/>
      <c r="EP516" s="135"/>
      <c r="EQ516" s="135"/>
      <c r="ER516" s="135"/>
      <c r="ES516" s="135"/>
      <c r="ET516" s="135"/>
      <c r="EU516" s="135"/>
      <c r="EV516" s="135"/>
      <c r="EW516" s="135"/>
    </row>
    <row r="517" spans="2:153" s="141" customFormat="1" x14ac:dyDescent="0.2">
      <c r="B517" s="134"/>
      <c r="C517" s="135"/>
      <c r="D517" s="136"/>
      <c r="E517" s="136"/>
      <c r="F517" s="137"/>
      <c r="G517" s="138"/>
      <c r="H517" s="138"/>
      <c r="I517" s="463"/>
      <c r="J517" s="134"/>
      <c r="K517" s="139"/>
      <c r="L517" s="140"/>
      <c r="N517" s="134"/>
      <c r="O517" s="134"/>
      <c r="P517" s="134"/>
      <c r="Q517" s="134"/>
      <c r="R517" s="140"/>
      <c r="S517" s="135"/>
      <c r="T517" s="135"/>
      <c r="U517" s="135"/>
      <c r="V517" s="135"/>
      <c r="W517" s="135"/>
      <c r="X517" s="135"/>
      <c r="Y517" s="135"/>
      <c r="Z517" s="135"/>
      <c r="AA517" s="135"/>
      <c r="AB517" s="135"/>
      <c r="AC517" s="135"/>
      <c r="AD517" s="135"/>
      <c r="AE517" s="135"/>
      <c r="AF517" s="135"/>
      <c r="AG517" s="135"/>
      <c r="AH517" s="135"/>
      <c r="AI517" s="135"/>
      <c r="AJ517" s="135"/>
      <c r="AK517" s="135"/>
      <c r="AL517" s="135"/>
      <c r="AM517" s="135"/>
      <c r="AN517" s="135"/>
      <c r="AO517" s="135"/>
      <c r="AP517" s="135"/>
      <c r="AQ517" s="135"/>
      <c r="AR517" s="135"/>
      <c r="AS517" s="135"/>
      <c r="AT517" s="135"/>
      <c r="AU517" s="135"/>
      <c r="AV517" s="135"/>
      <c r="AW517" s="135"/>
      <c r="AX517" s="135"/>
      <c r="AY517" s="135"/>
      <c r="AZ517" s="135"/>
      <c r="BA517" s="135"/>
      <c r="BB517" s="135"/>
      <c r="BC517" s="135"/>
      <c r="BD517" s="135"/>
      <c r="BE517" s="135"/>
      <c r="BF517" s="135"/>
      <c r="BG517" s="135"/>
      <c r="BH517" s="135"/>
      <c r="BI517" s="135"/>
      <c r="BJ517" s="135"/>
      <c r="BK517" s="135"/>
      <c r="BL517" s="135"/>
      <c r="BM517" s="135"/>
      <c r="BN517" s="135"/>
      <c r="BO517" s="135"/>
      <c r="BP517" s="135"/>
      <c r="BQ517" s="135"/>
      <c r="BR517" s="135"/>
      <c r="BS517" s="135"/>
      <c r="BT517" s="135"/>
      <c r="BU517" s="135"/>
      <c r="BV517" s="135"/>
      <c r="BW517" s="135"/>
      <c r="BX517" s="135"/>
      <c r="BY517" s="135"/>
      <c r="BZ517" s="135"/>
      <c r="CA517" s="135"/>
      <c r="CB517" s="135"/>
      <c r="CC517" s="135"/>
      <c r="CD517" s="135"/>
      <c r="CE517" s="135"/>
      <c r="CF517" s="135"/>
      <c r="CG517" s="135"/>
      <c r="CH517" s="135"/>
      <c r="CI517" s="135"/>
      <c r="CJ517" s="135"/>
      <c r="CK517" s="135"/>
      <c r="CL517" s="135"/>
      <c r="CM517" s="135"/>
      <c r="CN517" s="135"/>
      <c r="CO517" s="135"/>
      <c r="CP517" s="135"/>
      <c r="CQ517" s="135"/>
      <c r="CR517" s="135"/>
      <c r="CS517" s="135"/>
      <c r="CT517" s="135"/>
      <c r="CU517" s="135"/>
      <c r="CV517" s="135"/>
      <c r="CW517" s="135"/>
      <c r="CX517" s="135"/>
      <c r="CY517" s="135"/>
      <c r="CZ517" s="135"/>
      <c r="DA517" s="135"/>
      <c r="DB517" s="135"/>
      <c r="DC517" s="135"/>
      <c r="DD517" s="135"/>
      <c r="DE517" s="135"/>
      <c r="DF517" s="135"/>
      <c r="DG517" s="135"/>
      <c r="DH517" s="135"/>
      <c r="DI517" s="135"/>
      <c r="DJ517" s="135"/>
      <c r="DK517" s="135"/>
      <c r="DL517" s="135"/>
      <c r="DM517" s="135"/>
      <c r="DN517" s="135"/>
      <c r="DO517" s="135"/>
      <c r="DP517" s="135"/>
      <c r="DQ517" s="135"/>
      <c r="DR517" s="135"/>
      <c r="DS517" s="135"/>
      <c r="DT517" s="135"/>
      <c r="DU517" s="135"/>
      <c r="DV517" s="135"/>
      <c r="DW517" s="135"/>
      <c r="DX517" s="135"/>
      <c r="DY517" s="135"/>
      <c r="DZ517" s="135"/>
      <c r="EA517" s="135"/>
      <c r="EB517" s="135"/>
      <c r="EC517" s="135"/>
      <c r="ED517" s="135"/>
      <c r="EE517" s="135"/>
      <c r="EF517" s="135"/>
      <c r="EG517" s="135"/>
      <c r="EH517" s="135"/>
      <c r="EI517" s="135"/>
      <c r="EJ517" s="135"/>
      <c r="EK517" s="135"/>
      <c r="EL517" s="135"/>
      <c r="EM517" s="135"/>
      <c r="EN517" s="135"/>
      <c r="EO517" s="135"/>
      <c r="EP517" s="135"/>
      <c r="EQ517" s="135"/>
      <c r="ER517" s="135"/>
      <c r="ES517" s="135"/>
      <c r="ET517" s="135"/>
      <c r="EU517" s="135"/>
      <c r="EV517" s="135"/>
      <c r="EW517" s="135"/>
    </row>
    <row r="518" spans="2:153" s="141" customFormat="1" x14ac:dyDescent="0.2">
      <c r="B518" s="134"/>
      <c r="C518" s="135"/>
      <c r="D518" s="136"/>
      <c r="E518" s="136"/>
      <c r="F518" s="137"/>
      <c r="G518" s="138"/>
      <c r="H518" s="138"/>
      <c r="I518" s="463"/>
      <c r="J518" s="134"/>
      <c r="K518" s="139"/>
      <c r="L518" s="140"/>
      <c r="N518" s="134"/>
      <c r="O518" s="134"/>
      <c r="P518" s="134"/>
      <c r="Q518" s="134"/>
      <c r="R518" s="140"/>
      <c r="S518" s="135"/>
      <c r="T518" s="135"/>
      <c r="U518" s="135"/>
      <c r="V518" s="135"/>
      <c r="W518" s="135"/>
      <c r="X518" s="135"/>
      <c r="Y518" s="135"/>
      <c r="Z518" s="135"/>
      <c r="AA518" s="135"/>
      <c r="AB518" s="135"/>
      <c r="AC518" s="135"/>
      <c r="AD518" s="135"/>
      <c r="AE518" s="135"/>
      <c r="AF518" s="135"/>
      <c r="AG518" s="135"/>
      <c r="AH518" s="135"/>
      <c r="AI518" s="135"/>
      <c r="AJ518" s="135"/>
      <c r="AK518" s="135"/>
      <c r="AL518" s="135"/>
      <c r="AM518" s="135"/>
      <c r="AN518" s="135"/>
      <c r="AO518" s="135"/>
      <c r="AP518" s="135"/>
      <c r="AQ518" s="135"/>
      <c r="AR518" s="135"/>
      <c r="AS518" s="135"/>
      <c r="AT518" s="135"/>
      <c r="AU518" s="135"/>
      <c r="AV518" s="135"/>
      <c r="AW518" s="135"/>
      <c r="AX518" s="135"/>
      <c r="AY518" s="135"/>
      <c r="AZ518" s="135"/>
      <c r="BA518" s="135"/>
      <c r="BB518" s="135"/>
      <c r="BC518" s="135"/>
      <c r="BD518" s="135"/>
      <c r="BE518" s="135"/>
      <c r="BF518" s="135"/>
      <c r="BG518" s="135"/>
      <c r="BH518" s="135"/>
      <c r="BI518" s="135"/>
      <c r="BJ518" s="135"/>
      <c r="BK518" s="135"/>
      <c r="BL518" s="135"/>
      <c r="BM518" s="135"/>
      <c r="BN518" s="135"/>
      <c r="BO518" s="135"/>
      <c r="BP518" s="135"/>
      <c r="BQ518" s="135"/>
      <c r="BR518" s="135"/>
      <c r="BS518" s="135"/>
      <c r="BT518" s="135"/>
      <c r="BU518" s="135"/>
      <c r="BV518" s="135"/>
      <c r="BW518" s="135"/>
      <c r="BX518" s="135"/>
      <c r="BY518" s="135"/>
      <c r="BZ518" s="135"/>
      <c r="CA518" s="135"/>
      <c r="CB518" s="135"/>
      <c r="CC518" s="135"/>
      <c r="CD518" s="135"/>
      <c r="CE518" s="135"/>
      <c r="CF518" s="135"/>
      <c r="CG518" s="135"/>
      <c r="CH518" s="135"/>
      <c r="CI518" s="135"/>
      <c r="CJ518" s="135"/>
      <c r="CK518" s="135"/>
      <c r="CL518" s="135"/>
      <c r="CM518" s="135"/>
      <c r="CN518" s="135"/>
      <c r="CO518" s="135"/>
      <c r="CP518" s="135"/>
      <c r="CQ518" s="135"/>
      <c r="CR518" s="135"/>
      <c r="CS518" s="135"/>
      <c r="CT518" s="135"/>
      <c r="CU518" s="135"/>
      <c r="CV518" s="135"/>
      <c r="CW518" s="135"/>
      <c r="CX518" s="135"/>
      <c r="CY518" s="135"/>
      <c r="CZ518" s="135"/>
      <c r="DA518" s="135"/>
      <c r="DB518" s="135"/>
      <c r="DC518" s="135"/>
      <c r="DD518" s="135"/>
      <c r="DE518" s="135"/>
      <c r="DF518" s="135"/>
      <c r="DG518" s="135"/>
      <c r="DH518" s="135"/>
      <c r="DI518" s="135"/>
      <c r="DJ518" s="135"/>
      <c r="DK518" s="135"/>
      <c r="DL518" s="135"/>
      <c r="DM518" s="135"/>
      <c r="DN518" s="135"/>
      <c r="DO518" s="135"/>
      <c r="DP518" s="135"/>
      <c r="DQ518" s="135"/>
      <c r="DR518" s="135"/>
      <c r="DS518" s="135"/>
      <c r="DT518" s="135"/>
      <c r="DU518" s="135"/>
      <c r="DV518" s="135"/>
      <c r="DW518" s="135"/>
      <c r="DX518" s="135"/>
      <c r="DY518" s="135"/>
      <c r="DZ518" s="135"/>
      <c r="EA518" s="135"/>
      <c r="EB518" s="135"/>
      <c r="EC518" s="135"/>
      <c r="ED518" s="135"/>
      <c r="EE518" s="135"/>
      <c r="EF518" s="135"/>
      <c r="EG518" s="135"/>
      <c r="EH518" s="135"/>
      <c r="EI518" s="135"/>
      <c r="EJ518" s="135"/>
      <c r="EK518" s="135"/>
      <c r="EL518" s="135"/>
      <c r="EM518" s="135"/>
      <c r="EN518" s="135"/>
      <c r="EO518" s="135"/>
      <c r="EP518" s="135"/>
      <c r="EQ518" s="135"/>
      <c r="ER518" s="135"/>
      <c r="ES518" s="135"/>
      <c r="ET518" s="135"/>
      <c r="EU518" s="135"/>
      <c r="EV518" s="135"/>
      <c r="EW518" s="135"/>
    </row>
    <row r="519" spans="2:153" s="141" customFormat="1" x14ac:dyDescent="0.2">
      <c r="B519" s="134"/>
      <c r="C519" s="135"/>
      <c r="D519" s="136"/>
      <c r="E519" s="136"/>
      <c r="F519" s="137"/>
      <c r="G519" s="138"/>
      <c r="H519" s="138"/>
      <c r="I519" s="463"/>
      <c r="J519" s="134"/>
      <c r="K519" s="139"/>
      <c r="L519" s="140"/>
      <c r="N519" s="134"/>
      <c r="O519" s="134"/>
      <c r="P519" s="134"/>
      <c r="Q519" s="134"/>
      <c r="R519" s="140"/>
      <c r="S519" s="135"/>
      <c r="T519" s="135"/>
      <c r="U519" s="135"/>
      <c r="V519" s="135"/>
      <c r="W519" s="135"/>
      <c r="X519" s="135"/>
      <c r="Y519" s="135"/>
      <c r="Z519" s="135"/>
      <c r="AA519" s="135"/>
      <c r="AB519" s="135"/>
      <c r="AC519" s="135"/>
      <c r="AD519" s="135"/>
      <c r="AE519" s="135"/>
      <c r="AF519" s="135"/>
      <c r="AG519" s="135"/>
      <c r="AH519" s="135"/>
      <c r="AI519" s="135"/>
      <c r="AJ519" s="135"/>
      <c r="AK519" s="135"/>
      <c r="AL519" s="135"/>
      <c r="AM519" s="135"/>
      <c r="AN519" s="135"/>
      <c r="AO519" s="135"/>
      <c r="AP519" s="135"/>
      <c r="AQ519" s="135"/>
      <c r="AR519" s="135"/>
      <c r="AS519" s="135"/>
      <c r="AT519" s="135"/>
      <c r="AU519" s="135"/>
      <c r="AV519" s="135"/>
      <c r="AW519" s="135"/>
      <c r="AX519" s="135"/>
      <c r="AY519" s="135"/>
      <c r="AZ519" s="135"/>
      <c r="BA519" s="135"/>
      <c r="BB519" s="135"/>
      <c r="BC519" s="135"/>
      <c r="BD519" s="135"/>
      <c r="BE519" s="135"/>
      <c r="BF519" s="135"/>
      <c r="BG519" s="135"/>
      <c r="BH519" s="135"/>
      <c r="BI519" s="135"/>
      <c r="BJ519" s="135"/>
      <c r="BK519" s="135"/>
      <c r="BL519" s="135"/>
      <c r="BM519" s="135"/>
      <c r="BN519" s="135"/>
      <c r="BO519" s="135"/>
      <c r="BP519" s="135"/>
      <c r="BQ519" s="135"/>
      <c r="BR519" s="135"/>
      <c r="BS519" s="135"/>
      <c r="BT519" s="135"/>
      <c r="BU519" s="135"/>
      <c r="BV519" s="135"/>
      <c r="BW519" s="135"/>
      <c r="BX519" s="135"/>
      <c r="BY519" s="135"/>
      <c r="BZ519" s="135"/>
      <c r="CA519" s="135"/>
      <c r="CB519" s="135"/>
      <c r="CC519" s="135"/>
      <c r="CD519" s="135"/>
      <c r="CE519" s="135"/>
      <c r="CF519" s="135"/>
      <c r="CG519" s="135"/>
      <c r="CH519" s="135"/>
      <c r="CI519" s="135"/>
      <c r="CJ519" s="135"/>
      <c r="CK519" s="135"/>
      <c r="CL519" s="135"/>
      <c r="CM519" s="135"/>
      <c r="CN519" s="135"/>
      <c r="CO519" s="135"/>
      <c r="CP519" s="135"/>
      <c r="CQ519" s="135"/>
      <c r="CR519" s="135"/>
      <c r="CS519" s="135"/>
      <c r="CT519" s="135"/>
      <c r="CU519" s="135"/>
      <c r="CV519" s="135"/>
      <c r="CW519" s="135"/>
      <c r="CX519" s="135"/>
      <c r="CY519" s="135"/>
      <c r="CZ519" s="135"/>
      <c r="DA519" s="135"/>
      <c r="DB519" s="135"/>
      <c r="DC519" s="135"/>
      <c r="DD519" s="135"/>
      <c r="DE519" s="135"/>
      <c r="DF519" s="135"/>
      <c r="DG519" s="135"/>
      <c r="DH519" s="135"/>
      <c r="DI519" s="135"/>
      <c r="DJ519" s="135"/>
      <c r="DK519" s="135"/>
      <c r="DL519" s="135"/>
      <c r="DM519" s="135"/>
      <c r="DN519" s="135"/>
      <c r="DO519" s="135"/>
      <c r="DP519" s="135"/>
      <c r="DQ519" s="135"/>
      <c r="DR519" s="135"/>
      <c r="DS519" s="135"/>
      <c r="DT519" s="135"/>
      <c r="DU519" s="135"/>
      <c r="DV519" s="135"/>
      <c r="DW519" s="135"/>
      <c r="DX519" s="135"/>
      <c r="DY519" s="135"/>
      <c r="DZ519" s="135"/>
      <c r="EA519" s="135"/>
      <c r="EB519" s="135"/>
      <c r="EC519" s="135"/>
      <c r="ED519" s="135"/>
      <c r="EE519" s="135"/>
      <c r="EF519" s="135"/>
      <c r="EG519" s="135"/>
      <c r="EH519" s="135"/>
      <c r="EI519" s="135"/>
      <c r="EJ519" s="135"/>
      <c r="EK519" s="135"/>
      <c r="EL519" s="135"/>
      <c r="EM519" s="135"/>
      <c r="EN519" s="135"/>
      <c r="EO519" s="135"/>
      <c r="EP519" s="135"/>
      <c r="EQ519" s="135"/>
      <c r="ER519" s="135"/>
      <c r="ES519" s="135"/>
      <c r="ET519" s="135"/>
      <c r="EU519" s="135"/>
      <c r="EV519" s="135"/>
      <c r="EW519" s="135"/>
    </row>
    <row r="520" spans="2:153" s="141" customFormat="1" x14ac:dyDescent="0.2">
      <c r="B520" s="134"/>
      <c r="C520" s="135"/>
      <c r="D520" s="136"/>
      <c r="E520" s="136"/>
      <c r="F520" s="137"/>
      <c r="G520" s="138"/>
      <c r="H520" s="138"/>
      <c r="I520" s="463"/>
      <c r="J520" s="134"/>
      <c r="K520" s="139"/>
      <c r="L520" s="140"/>
      <c r="N520" s="134"/>
      <c r="O520" s="134"/>
      <c r="P520" s="134"/>
      <c r="Q520" s="134"/>
      <c r="R520" s="140"/>
      <c r="S520" s="135"/>
      <c r="T520" s="135"/>
      <c r="U520" s="135"/>
      <c r="V520" s="135"/>
      <c r="W520" s="135"/>
      <c r="X520" s="135"/>
      <c r="Y520" s="135"/>
      <c r="Z520" s="135"/>
      <c r="AA520" s="135"/>
      <c r="AB520" s="135"/>
      <c r="AC520" s="135"/>
      <c r="AD520" s="135"/>
      <c r="AE520" s="135"/>
      <c r="AF520" s="135"/>
      <c r="AG520" s="135"/>
      <c r="AH520" s="135"/>
      <c r="AI520" s="135"/>
      <c r="AJ520" s="135"/>
      <c r="AK520" s="135"/>
      <c r="AL520" s="135"/>
      <c r="AM520" s="135"/>
      <c r="AN520" s="135"/>
      <c r="AO520" s="135"/>
      <c r="AP520" s="135"/>
      <c r="AQ520" s="135"/>
      <c r="AR520" s="135"/>
      <c r="AS520" s="135"/>
      <c r="AT520" s="135"/>
      <c r="AU520" s="135"/>
      <c r="AV520" s="135"/>
      <c r="AW520" s="135"/>
      <c r="AX520" s="135"/>
      <c r="AY520" s="135"/>
      <c r="AZ520" s="135"/>
      <c r="BA520" s="135"/>
      <c r="BB520" s="135"/>
      <c r="BC520" s="135"/>
      <c r="BD520" s="135"/>
      <c r="BE520" s="135"/>
      <c r="BF520" s="135"/>
      <c r="BG520" s="135"/>
      <c r="BH520" s="135"/>
      <c r="BI520" s="135"/>
      <c r="BJ520" s="135"/>
      <c r="BK520" s="135"/>
      <c r="BL520" s="135"/>
      <c r="BM520" s="135"/>
      <c r="BN520" s="135"/>
      <c r="BO520" s="135"/>
      <c r="BP520" s="135"/>
      <c r="BQ520" s="135"/>
      <c r="BR520" s="135"/>
      <c r="BS520" s="135"/>
      <c r="BT520" s="135"/>
      <c r="BU520" s="135"/>
      <c r="BV520" s="135"/>
      <c r="BW520" s="135"/>
      <c r="BX520" s="135"/>
      <c r="BY520" s="135"/>
      <c r="BZ520" s="135"/>
      <c r="CA520" s="135"/>
      <c r="CB520" s="135"/>
      <c r="CC520" s="135"/>
      <c r="CD520" s="135"/>
      <c r="CE520" s="135"/>
      <c r="CF520" s="135"/>
      <c r="CG520" s="135"/>
      <c r="CH520" s="135"/>
      <c r="CI520" s="135"/>
      <c r="CJ520" s="135"/>
      <c r="CK520" s="135"/>
      <c r="CL520" s="135"/>
      <c r="CM520" s="135"/>
      <c r="CN520" s="135"/>
      <c r="CO520" s="135"/>
      <c r="CP520" s="135"/>
      <c r="CQ520" s="135"/>
      <c r="CR520" s="135"/>
      <c r="CS520" s="135"/>
      <c r="CT520" s="135"/>
      <c r="CU520" s="135"/>
      <c r="CV520" s="135"/>
      <c r="CW520" s="135"/>
      <c r="CX520" s="135"/>
      <c r="CY520" s="135"/>
      <c r="CZ520" s="135"/>
      <c r="DA520" s="135"/>
      <c r="DB520" s="135"/>
      <c r="DC520" s="135"/>
      <c r="DD520" s="135"/>
      <c r="DE520" s="135"/>
      <c r="DF520" s="135"/>
      <c r="DG520" s="135"/>
      <c r="DH520" s="135"/>
      <c r="DI520" s="135"/>
      <c r="DJ520" s="135"/>
      <c r="DK520" s="135"/>
      <c r="DL520" s="135"/>
      <c r="DM520" s="135"/>
      <c r="DN520" s="135"/>
      <c r="DO520" s="135"/>
      <c r="DP520" s="135"/>
      <c r="DQ520" s="135"/>
      <c r="DR520" s="135"/>
      <c r="DS520" s="135"/>
      <c r="DT520" s="135"/>
      <c r="DU520" s="135"/>
      <c r="DV520" s="135"/>
      <c r="DW520" s="135"/>
      <c r="DX520" s="135"/>
      <c r="DY520" s="135"/>
      <c r="DZ520" s="135"/>
      <c r="EA520" s="135"/>
      <c r="EB520" s="135"/>
      <c r="EC520" s="135"/>
      <c r="ED520" s="135"/>
      <c r="EE520" s="135"/>
      <c r="EF520" s="135"/>
      <c r="EG520" s="135"/>
      <c r="EH520" s="135"/>
      <c r="EI520" s="135"/>
      <c r="EJ520" s="135"/>
      <c r="EK520" s="135"/>
      <c r="EL520" s="135"/>
      <c r="EM520" s="135"/>
      <c r="EN520" s="135"/>
      <c r="EO520" s="135"/>
      <c r="EP520" s="135"/>
      <c r="EQ520" s="135"/>
      <c r="ER520" s="135"/>
      <c r="ES520" s="135"/>
      <c r="ET520" s="135"/>
      <c r="EU520" s="135"/>
      <c r="EV520" s="135"/>
      <c r="EW520" s="135"/>
    </row>
    <row r="521" spans="2:153" s="141" customFormat="1" x14ac:dyDescent="0.2">
      <c r="B521" s="134"/>
      <c r="C521" s="135"/>
      <c r="D521" s="136"/>
      <c r="E521" s="136"/>
      <c r="F521" s="137"/>
      <c r="G521" s="138"/>
      <c r="H521" s="138"/>
      <c r="I521" s="463"/>
      <c r="J521" s="134"/>
      <c r="K521" s="139"/>
      <c r="L521" s="140"/>
      <c r="N521" s="134"/>
      <c r="O521" s="134"/>
      <c r="P521" s="134"/>
      <c r="Q521" s="134"/>
      <c r="R521" s="140"/>
      <c r="S521" s="135"/>
      <c r="T521" s="135"/>
      <c r="U521" s="135"/>
      <c r="V521" s="135"/>
      <c r="W521" s="135"/>
      <c r="X521" s="135"/>
      <c r="Y521" s="135"/>
      <c r="Z521" s="135"/>
      <c r="AA521" s="135"/>
      <c r="AB521" s="135"/>
      <c r="AC521" s="135"/>
      <c r="AD521" s="135"/>
      <c r="AE521" s="135"/>
      <c r="AF521" s="135"/>
      <c r="AG521" s="135"/>
      <c r="AH521" s="135"/>
      <c r="AI521" s="135"/>
      <c r="AJ521" s="135"/>
      <c r="AK521" s="135"/>
      <c r="AL521" s="135"/>
      <c r="AM521" s="135"/>
      <c r="AN521" s="135"/>
      <c r="AO521" s="135"/>
      <c r="AP521" s="135"/>
      <c r="AQ521" s="135"/>
      <c r="AR521" s="135"/>
      <c r="AS521" s="135"/>
      <c r="AT521" s="135"/>
      <c r="AU521" s="135"/>
      <c r="AV521" s="135"/>
      <c r="AW521" s="135"/>
      <c r="AX521" s="135"/>
      <c r="AY521" s="135"/>
      <c r="AZ521" s="135"/>
      <c r="BA521" s="135"/>
      <c r="BB521" s="135"/>
      <c r="BC521" s="135"/>
      <c r="BD521" s="135"/>
      <c r="BE521" s="135"/>
      <c r="BF521" s="135"/>
      <c r="BG521" s="135"/>
      <c r="BH521" s="135"/>
      <c r="BI521" s="135"/>
      <c r="BJ521" s="135"/>
      <c r="BK521" s="135"/>
      <c r="BL521" s="135"/>
      <c r="BM521" s="135"/>
      <c r="BN521" s="135"/>
      <c r="BO521" s="135"/>
      <c r="BP521" s="135"/>
      <c r="BQ521" s="135"/>
      <c r="BR521" s="135"/>
      <c r="BS521" s="135"/>
      <c r="BT521" s="135"/>
      <c r="BU521" s="135"/>
      <c r="BV521" s="135"/>
      <c r="BW521" s="135"/>
      <c r="BX521" s="135"/>
      <c r="BY521" s="135"/>
      <c r="BZ521" s="135"/>
      <c r="CA521" s="135"/>
      <c r="CB521" s="135"/>
      <c r="CC521" s="135"/>
      <c r="CD521" s="135"/>
      <c r="CE521" s="135"/>
      <c r="CF521" s="135"/>
      <c r="CG521" s="135"/>
      <c r="CH521" s="135"/>
      <c r="CI521" s="135"/>
      <c r="CJ521" s="135"/>
      <c r="CK521" s="135"/>
      <c r="CL521" s="135"/>
      <c r="CM521" s="135"/>
      <c r="CN521" s="135"/>
      <c r="CO521" s="135"/>
      <c r="CP521" s="135"/>
      <c r="CQ521" s="135"/>
      <c r="CR521" s="135"/>
      <c r="CS521" s="135"/>
      <c r="CT521" s="135"/>
      <c r="CU521" s="135"/>
      <c r="CV521" s="135"/>
      <c r="CW521" s="135"/>
      <c r="CX521" s="135"/>
      <c r="CY521" s="135"/>
      <c r="CZ521" s="135"/>
      <c r="DA521" s="135"/>
      <c r="DB521" s="135"/>
      <c r="DC521" s="135"/>
      <c r="DD521" s="135"/>
      <c r="DE521" s="135"/>
      <c r="DF521" s="135"/>
      <c r="DG521" s="135"/>
      <c r="DH521" s="135"/>
      <c r="DI521" s="135"/>
      <c r="DJ521" s="135"/>
      <c r="DK521" s="135"/>
      <c r="DL521" s="135"/>
      <c r="DM521" s="135"/>
      <c r="DN521" s="135"/>
      <c r="DO521" s="135"/>
      <c r="DP521" s="135"/>
      <c r="DQ521" s="135"/>
      <c r="DR521" s="135"/>
      <c r="DS521" s="135"/>
      <c r="DT521" s="135"/>
      <c r="DU521" s="135"/>
      <c r="DV521" s="135"/>
      <c r="DW521" s="135"/>
      <c r="DX521" s="135"/>
      <c r="DY521" s="135"/>
      <c r="DZ521" s="135"/>
      <c r="EA521" s="135"/>
      <c r="EB521" s="135"/>
      <c r="EC521" s="135"/>
      <c r="ED521" s="135"/>
      <c r="EE521" s="135"/>
      <c r="EF521" s="135"/>
      <c r="EG521" s="135"/>
      <c r="EH521" s="135"/>
      <c r="EI521" s="135"/>
      <c r="EJ521" s="135"/>
      <c r="EK521" s="135"/>
      <c r="EL521" s="135"/>
      <c r="EM521" s="135"/>
      <c r="EN521" s="135"/>
      <c r="EO521" s="135"/>
      <c r="EP521" s="135"/>
      <c r="EQ521" s="135"/>
      <c r="ER521" s="135"/>
      <c r="ES521" s="135"/>
      <c r="ET521" s="135"/>
      <c r="EU521" s="135"/>
      <c r="EV521" s="135"/>
      <c r="EW521" s="135"/>
    </row>
    <row r="522" spans="2:153" s="141" customFormat="1" x14ac:dyDescent="0.2">
      <c r="B522" s="134"/>
      <c r="C522" s="135"/>
      <c r="D522" s="136"/>
      <c r="E522" s="136"/>
      <c r="F522" s="137"/>
      <c r="G522" s="138"/>
      <c r="H522" s="138"/>
      <c r="I522" s="463"/>
      <c r="J522" s="134"/>
      <c r="K522" s="139"/>
      <c r="L522" s="140"/>
      <c r="N522" s="134"/>
      <c r="O522" s="134"/>
      <c r="P522" s="134"/>
      <c r="Q522" s="134"/>
      <c r="R522" s="140"/>
      <c r="S522" s="135"/>
      <c r="T522" s="135"/>
      <c r="U522" s="135"/>
      <c r="V522" s="135"/>
      <c r="W522" s="135"/>
      <c r="X522" s="135"/>
      <c r="Y522" s="135"/>
      <c r="Z522" s="135"/>
      <c r="AA522" s="135"/>
      <c r="AB522" s="135"/>
      <c r="AC522" s="135"/>
      <c r="AD522" s="135"/>
      <c r="AE522" s="135"/>
      <c r="AF522" s="135"/>
      <c r="AG522" s="135"/>
      <c r="AH522" s="135"/>
      <c r="AI522" s="135"/>
      <c r="AJ522" s="135"/>
      <c r="AK522" s="135"/>
      <c r="AL522" s="135"/>
      <c r="AM522" s="135"/>
      <c r="AN522" s="135"/>
      <c r="AO522" s="135"/>
      <c r="AP522" s="135"/>
      <c r="AQ522" s="135"/>
      <c r="AR522" s="135"/>
      <c r="AS522" s="135"/>
      <c r="AT522" s="135"/>
      <c r="AU522" s="135"/>
      <c r="AV522" s="135"/>
      <c r="AW522" s="135"/>
      <c r="AX522" s="135"/>
      <c r="AY522" s="135"/>
      <c r="AZ522" s="135"/>
      <c r="BA522" s="135"/>
      <c r="BB522" s="135"/>
      <c r="BC522" s="135"/>
      <c r="BD522" s="135"/>
      <c r="BE522" s="135"/>
      <c r="BF522" s="135"/>
      <c r="BG522" s="135"/>
      <c r="BH522" s="135"/>
      <c r="BI522" s="135"/>
      <c r="BJ522" s="135"/>
      <c r="BK522" s="135"/>
      <c r="BL522" s="135"/>
      <c r="BM522" s="135"/>
      <c r="BN522" s="135"/>
      <c r="BO522" s="135"/>
      <c r="BP522" s="135"/>
      <c r="BQ522" s="135"/>
      <c r="BR522" s="135"/>
      <c r="BS522" s="135"/>
      <c r="BT522" s="135"/>
      <c r="BU522" s="135"/>
      <c r="BV522" s="135"/>
      <c r="BW522" s="135"/>
      <c r="BX522" s="135"/>
      <c r="BY522" s="135"/>
      <c r="BZ522" s="135"/>
      <c r="CA522" s="135"/>
      <c r="CB522" s="135"/>
      <c r="CC522" s="135"/>
      <c r="CD522" s="135"/>
      <c r="CE522" s="135"/>
      <c r="CF522" s="135"/>
      <c r="CG522" s="135"/>
      <c r="CH522" s="135"/>
      <c r="CI522" s="135"/>
      <c r="CJ522" s="135"/>
      <c r="CK522" s="135"/>
      <c r="CL522" s="135"/>
      <c r="CM522" s="135"/>
      <c r="CN522" s="135"/>
      <c r="CO522" s="135"/>
      <c r="CP522" s="135"/>
      <c r="CQ522" s="135"/>
      <c r="CR522" s="135"/>
      <c r="CS522" s="135"/>
      <c r="CT522" s="135"/>
      <c r="CU522" s="135"/>
      <c r="CV522" s="135"/>
      <c r="CW522" s="135"/>
      <c r="CX522" s="135"/>
      <c r="CY522" s="135"/>
      <c r="CZ522" s="135"/>
      <c r="DA522" s="135"/>
      <c r="DB522" s="135"/>
      <c r="DC522" s="135"/>
      <c r="DD522" s="135"/>
      <c r="DE522" s="135"/>
      <c r="DF522" s="135"/>
      <c r="DG522" s="135"/>
      <c r="DH522" s="135"/>
      <c r="DI522" s="135"/>
      <c r="DJ522" s="135"/>
      <c r="DK522" s="135"/>
      <c r="DL522" s="135"/>
      <c r="DM522" s="135"/>
      <c r="DN522" s="135"/>
      <c r="DO522" s="135"/>
      <c r="DP522" s="135"/>
      <c r="DQ522" s="135"/>
      <c r="DR522" s="135"/>
      <c r="DS522" s="135"/>
      <c r="DT522" s="135"/>
      <c r="DU522" s="135"/>
      <c r="DV522" s="135"/>
      <c r="DW522" s="135"/>
      <c r="DX522" s="135"/>
      <c r="DY522" s="135"/>
      <c r="DZ522" s="135"/>
      <c r="EA522" s="135"/>
      <c r="EB522" s="135"/>
      <c r="EC522" s="135"/>
      <c r="ED522" s="135"/>
      <c r="EE522" s="135"/>
      <c r="EF522" s="135"/>
      <c r="EG522" s="135"/>
      <c r="EH522" s="135"/>
      <c r="EI522" s="135"/>
      <c r="EJ522" s="135"/>
      <c r="EK522" s="135"/>
      <c r="EL522" s="135"/>
      <c r="EM522" s="135"/>
      <c r="EN522" s="135"/>
      <c r="EO522" s="135"/>
      <c r="EP522" s="135"/>
      <c r="EQ522" s="135"/>
      <c r="ER522" s="135"/>
      <c r="ES522" s="135"/>
      <c r="ET522" s="135"/>
      <c r="EU522" s="135"/>
      <c r="EV522" s="135"/>
      <c r="EW522" s="135"/>
    </row>
    <row r="523" spans="2:153" s="141" customFormat="1" x14ac:dyDescent="0.2">
      <c r="B523" s="134"/>
      <c r="C523" s="135"/>
      <c r="D523" s="136"/>
      <c r="E523" s="136"/>
      <c r="F523" s="137"/>
      <c r="G523" s="138"/>
      <c r="H523" s="138"/>
      <c r="I523" s="463"/>
      <c r="J523" s="134"/>
      <c r="K523" s="139"/>
      <c r="L523" s="140"/>
      <c r="N523" s="134"/>
      <c r="O523" s="134"/>
      <c r="P523" s="134"/>
      <c r="Q523" s="134"/>
      <c r="R523" s="140"/>
      <c r="S523" s="135"/>
      <c r="T523" s="135"/>
      <c r="U523" s="135"/>
      <c r="V523" s="135"/>
      <c r="W523" s="135"/>
      <c r="X523" s="135"/>
      <c r="Y523" s="135"/>
      <c r="Z523" s="135"/>
      <c r="AA523" s="135"/>
      <c r="AB523" s="135"/>
      <c r="AC523" s="135"/>
      <c r="AD523" s="135"/>
      <c r="AE523" s="135"/>
      <c r="AF523" s="135"/>
      <c r="AG523" s="135"/>
      <c r="AH523" s="135"/>
      <c r="AI523" s="135"/>
      <c r="AJ523" s="135"/>
      <c r="AK523" s="135"/>
      <c r="AL523" s="135"/>
      <c r="AM523" s="135"/>
      <c r="AN523" s="135"/>
      <c r="AO523" s="135"/>
      <c r="AP523" s="135"/>
      <c r="AQ523" s="135"/>
      <c r="AR523" s="135"/>
      <c r="AS523" s="135"/>
      <c r="AT523" s="135"/>
      <c r="AU523" s="135"/>
      <c r="AV523" s="135"/>
      <c r="AW523" s="135"/>
      <c r="AX523" s="135"/>
      <c r="AY523" s="135"/>
      <c r="AZ523" s="135"/>
      <c r="BA523" s="135"/>
      <c r="BB523" s="135"/>
      <c r="BC523" s="135"/>
      <c r="BD523" s="135"/>
      <c r="BE523" s="135"/>
      <c r="BF523" s="135"/>
      <c r="BG523" s="135"/>
      <c r="BH523" s="135"/>
      <c r="BI523" s="135"/>
      <c r="BJ523" s="135"/>
      <c r="BK523" s="135"/>
      <c r="BL523" s="135"/>
      <c r="BM523" s="135"/>
      <c r="BN523" s="135"/>
      <c r="BO523" s="135"/>
      <c r="BP523" s="135"/>
      <c r="BQ523" s="135"/>
      <c r="BR523" s="135"/>
      <c r="BS523" s="135"/>
      <c r="BT523" s="135"/>
      <c r="BU523" s="135"/>
      <c r="BV523" s="135"/>
      <c r="BW523" s="135"/>
      <c r="BX523" s="135"/>
      <c r="BY523" s="135"/>
      <c r="BZ523" s="135"/>
      <c r="CA523" s="135"/>
      <c r="CB523" s="135"/>
      <c r="CC523" s="135"/>
      <c r="CD523" s="135"/>
      <c r="CE523" s="135"/>
      <c r="CF523" s="135"/>
      <c r="CG523" s="135"/>
      <c r="CH523" s="135"/>
      <c r="CI523" s="135"/>
      <c r="CJ523" s="135"/>
      <c r="CK523" s="135"/>
      <c r="CL523" s="135"/>
      <c r="CM523" s="135"/>
      <c r="CN523" s="135"/>
      <c r="CO523" s="135"/>
      <c r="CP523" s="135"/>
      <c r="CQ523" s="135"/>
      <c r="CR523" s="135"/>
      <c r="CS523" s="135"/>
      <c r="CT523" s="135"/>
      <c r="CU523" s="135"/>
      <c r="CV523" s="135"/>
      <c r="CW523" s="135"/>
      <c r="CX523" s="135"/>
      <c r="CY523" s="135"/>
      <c r="CZ523" s="135"/>
      <c r="DA523" s="135"/>
      <c r="DB523" s="135"/>
      <c r="DC523" s="135"/>
      <c r="DD523" s="135"/>
      <c r="DE523" s="135"/>
      <c r="DF523" s="135"/>
      <c r="DG523" s="135"/>
      <c r="DH523" s="135"/>
      <c r="DI523" s="135"/>
      <c r="DJ523" s="135"/>
      <c r="DK523" s="135"/>
      <c r="DL523" s="135"/>
      <c r="DM523" s="135"/>
      <c r="DN523" s="135"/>
      <c r="DO523" s="135"/>
      <c r="DP523" s="135"/>
      <c r="DQ523" s="135"/>
      <c r="DR523" s="135"/>
      <c r="DS523" s="135"/>
      <c r="DT523" s="135"/>
      <c r="DU523" s="135"/>
      <c r="DV523" s="135"/>
      <c r="DW523" s="135"/>
      <c r="DX523" s="135"/>
      <c r="DY523" s="135"/>
      <c r="DZ523" s="135"/>
      <c r="EA523" s="135"/>
      <c r="EB523" s="135"/>
      <c r="EC523" s="135"/>
      <c r="ED523" s="135"/>
      <c r="EE523" s="135"/>
      <c r="EF523" s="135"/>
      <c r="EG523" s="135"/>
      <c r="EH523" s="135"/>
      <c r="EI523" s="135"/>
      <c r="EJ523" s="135"/>
      <c r="EK523" s="135"/>
      <c r="EL523" s="135"/>
      <c r="EM523" s="135"/>
      <c r="EN523" s="135"/>
      <c r="EO523" s="135"/>
      <c r="EP523" s="135"/>
      <c r="EQ523" s="135"/>
      <c r="ER523" s="135"/>
      <c r="ES523" s="135"/>
      <c r="ET523" s="135"/>
      <c r="EU523" s="135"/>
      <c r="EV523" s="135"/>
      <c r="EW523" s="135"/>
    </row>
    <row r="524" spans="2:153" s="141" customFormat="1" x14ac:dyDescent="0.2">
      <c r="B524" s="134"/>
      <c r="C524" s="135"/>
      <c r="D524" s="136"/>
      <c r="E524" s="136"/>
      <c r="F524" s="137"/>
      <c r="G524" s="138"/>
      <c r="H524" s="138"/>
      <c r="I524" s="463"/>
      <c r="J524" s="134"/>
      <c r="K524" s="139"/>
      <c r="L524" s="140"/>
      <c r="N524" s="134"/>
      <c r="O524" s="134"/>
      <c r="P524" s="134"/>
      <c r="Q524" s="134"/>
      <c r="R524" s="140"/>
      <c r="S524" s="135"/>
      <c r="T524" s="135"/>
      <c r="U524" s="135"/>
      <c r="V524" s="135"/>
      <c r="W524" s="135"/>
      <c r="X524" s="135"/>
      <c r="Y524" s="135"/>
      <c r="Z524" s="135"/>
      <c r="AA524" s="135"/>
      <c r="AB524" s="135"/>
      <c r="AC524" s="135"/>
      <c r="AD524" s="135"/>
      <c r="AE524" s="135"/>
      <c r="AF524" s="135"/>
      <c r="AG524" s="135"/>
      <c r="AH524" s="135"/>
      <c r="AI524" s="135"/>
      <c r="AJ524" s="135"/>
      <c r="AK524" s="135"/>
      <c r="AL524" s="135"/>
      <c r="AM524" s="135"/>
      <c r="AN524" s="135"/>
      <c r="AO524" s="135"/>
      <c r="AP524" s="135"/>
      <c r="AQ524" s="135"/>
      <c r="AR524" s="135"/>
      <c r="AS524" s="135"/>
      <c r="AT524" s="135"/>
      <c r="AU524" s="135"/>
      <c r="AV524" s="135"/>
      <c r="AW524" s="135"/>
      <c r="AX524" s="135"/>
      <c r="AY524" s="135"/>
      <c r="AZ524" s="135"/>
      <c r="BA524" s="135"/>
      <c r="BB524" s="135"/>
      <c r="BC524" s="135"/>
      <c r="BD524" s="135"/>
      <c r="BE524" s="135"/>
      <c r="BF524" s="135"/>
      <c r="BG524" s="135"/>
      <c r="BH524" s="135"/>
      <c r="BI524" s="135"/>
      <c r="BJ524" s="135"/>
      <c r="BK524" s="135"/>
      <c r="BL524" s="135"/>
      <c r="BM524" s="135"/>
      <c r="BN524" s="135"/>
      <c r="BO524" s="135"/>
      <c r="BP524" s="135"/>
      <c r="BQ524" s="135"/>
      <c r="BR524" s="135"/>
      <c r="BS524" s="135"/>
      <c r="BT524" s="135"/>
      <c r="BU524" s="135"/>
      <c r="BV524" s="135"/>
      <c r="BW524" s="135"/>
      <c r="BX524" s="135"/>
      <c r="BY524" s="135"/>
      <c r="BZ524" s="135"/>
      <c r="CA524" s="135"/>
      <c r="CB524" s="135"/>
      <c r="CC524" s="135"/>
      <c r="CD524" s="135"/>
      <c r="CE524" s="135"/>
      <c r="CF524" s="135"/>
      <c r="CG524" s="135"/>
      <c r="CH524" s="135"/>
      <c r="CI524" s="135"/>
      <c r="CJ524" s="135"/>
      <c r="CK524" s="135"/>
      <c r="CL524" s="135"/>
      <c r="CM524" s="135"/>
      <c r="CN524" s="135"/>
      <c r="CO524" s="135"/>
      <c r="CP524" s="135"/>
      <c r="CQ524" s="135"/>
      <c r="CR524" s="135"/>
      <c r="CS524" s="135"/>
      <c r="CT524" s="135"/>
      <c r="CU524" s="135"/>
      <c r="CV524" s="135"/>
      <c r="CW524" s="135"/>
      <c r="CX524" s="135"/>
      <c r="CY524" s="135"/>
      <c r="CZ524" s="135"/>
      <c r="DA524" s="135"/>
      <c r="DB524" s="135"/>
      <c r="DC524" s="135"/>
      <c r="DD524" s="135"/>
      <c r="DE524" s="135"/>
      <c r="DF524" s="135"/>
      <c r="DG524" s="135"/>
      <c r="DH524" s="135"/>
      <c r="DI524" s="135"/>
      <c r="DJ524" s="135"/>
      <c r="DK524" s="135"/>
      <c r="DL524" s="135"/>
      <c r="DM524" s="135"/>
      <c r="DN524" s="135"/>
      <c r="DO524" s="135"/>
      <c r="DP524" s="135"/>
      <c r="DQ524" s="135"/>
      <c r="DR524" s="135"/>
      <c r="DS524" s="135"/>
      <c r="DT524" s="135"/>
      <c r="DU524" s="135"/>
      <c r="DV524" s="135"/>
      <c r="DW524" s="135"/>
      <c r="DX524" s="135"/>
      <c r="DY524" s="135"/>
      <c r="DZ524" s="135"/>
      <c r="EA524" s="135"/>
      <c r="EB524" s="135"/>
      <c r="EC524" s="135"/>
      <c r="ED524" s="135"/>
      <c r="EE524" s="135"/>
      <c r="EF524" s="135"/>
      <c r="EG524" s="135"/>
      <c r="EH524" s="135"/>
      <c r="EI524" s="135"/>
      <c r="EJ524" s="135"/>
      <c r="EK524" s="135"/>
      <c r="EL524" s="135"/>
      <c r="EM524" s="135"/>
      <c r="EN524" s="135"/>
      <c r="EO524" s="135"/>
      <c r="EP524" s="135"/>
      <c r="EQ524" s="135"/>
      <c r="ER524" s="135"/>
      <c r="ES524" s="135"/>
      <c r="ET524" s="135"/>
      <c r="EU524" s="135"/>
      <c r="EV524" s="135"/>
      <c r="EW524" s="135"/>
    </row>
    <row r="525" spans="2:153" s="141" customFormat="1" x14ac:dyDescent="0.2">
      <c r="B525" s="134"/>
      <c r="C525" s="135"/>
      <c r="D525" s="136"/>
      <c r="E525" s="136"/>
      <c r="F525" s="137"/>
      <c r="G525" s="138"/>
      <c r="H525" s="138"/>
      <c r="I525" s="463"/>
      <c r="J525" s="134"/>
      <c r="K525" s="139"/>
      <c r="L525" s="140"/>
      <c r="N525" s="134"/>
      <c r="O525" s="134"/>
      <c r="P525" s="134"/>
      <c r="Q525" s="134"/>
      <c r="R525" s="140"/>
      <c r="S525" s="135"/>
      <c r="T525" s="135"/>
      <c r="U525" s="135"/>
      <c r="V525" s="135"/>
      <c r="W525" s="135"/>
      <c r="X525" s="135"/>
      <c r="Y525" s="135"/>
      <c r="Z525" s="135"/>
      <c r="AA525" s="135"/>
      <c r="AB525" s="135"/>
      <c r="AC525" s="135"/>
      <c r="AD525" s="135"/>
      <c r="AE525" s="135"/>
      <c r="AF525" s="135"/>
      <c r="AG525" s="135"/>
      <c r="AH525" s="135"/>
      <c r="AI525" s="135"/>
      <c r="AJ525" s="135"/>
      <c r="AK525" s="135"/>
      <c r="AL525" s="135"/>
      <c r="AM525" s="135"/>
      <c r="AN525" s="135"/>
      <c r="AO525" s="135"/>
      <c r="AP525" s="135"/>
      <c r="AQ525" s="135"/>
      <c r="AR525" s="135"/>
      <c r="AS525" s="135"/>
      <c r="AT525" s="135"/>
      <c r="AU525" s="135"/>
      <c r="AV525" s="135"/>
      <c r="AW525" s="135"/>
      <c r="AX525" s="135"/>
      <c r="AY525" s="135"/>
      <c r="AZ525" s="135"/>
      <c r="BA525" s="135"/>
      <c r="BB525" s="135"/>
      <c r="BC525" s="135"/>
      <c r="BD525" s="135"/>
      <c r="BE525" s="135"/>
      <c r="BF525" s="135"/>
      <c r="BG525" s="135"/>
      <c r="BH525" s="135"/>
      <c r="BI525" s="135"/>
      <c r="BJ525" s="135"/>
      <c r="BK525" s="135"/>
      <c r="BL525" s="135"/>
      <c r="BM525" s="135"/>
      <c r="BN525" s="135"/>
      <c r="BO525" s="135"/>
      <c r="BP525" s="135"/>
      <c r="BQ525" s="135"/>
      <c r="BR525" s="135"/>
      <c r="BS525" s="135"/>
      <c r="BT525" s="135"/>
      <c r="BU525" s="135"/>
      <c r="BV525" s="135"/>
      <c r="BW525" s="135"/>
      <c r="BX525" s="135"/>
      <c r="BY525" s="135"/>
      <c r="BZ525" s="135"/>
      <c r="CA525" s="135"/>
      <c r="CB525" s="135"/>
      <c r="CC525" s="135"/>
      <c r="CD525" s="135"/>
      <c r="CE525" s="135"/>
      <c r="CF525" s="135"/>
      <c r="CG525" s="135"/>
      <c r="CH525" s="135"/>
      <c r="CI525" s="135"/>
      <c r="CJ525" s="135"/>
      <c r="CK525" s="135"/>
      <c r="CL525" s="135"/>
      <c r="CM525" s="135"/>
      <c r="CN525" s="135"/>
      <c r="CO525" s="135"/>
      <c r="CP525" s="135"/>
      <c r="CQ525" s="135"/>
      <c r="CR525" s="135"/>
      <c r="CS525" s="135"/>
      <c r="CT525" s="135"/>
      <c r="CU525" s="135"/>
      <c r="CV525" s="135"/>
      <c r="CW525" s="135"/>
      <c r="CX525" s="135"/>
      <c r="CY525" s="135"/>
      <c r="CZ525" s="135"/>
      <c r="DA525" s="135"/>
      <c r="DB525" s="135"/>
      <c r="DC525" s="135"/>
      <c r="DD525" s="135"/>
      <c r="DE525" s="135"/>
      <c r="DF525" s="135"/>
      <c r="DG525" s="135"/>
      <c r="DH525" s="135"/>
      <c r="DI525" s="135"/>
      <c r="DJ525" s="135"/>
      <c r="DK525" s="135"/>
      <c r="DL525" s="135"/>
      <c r="DM525" s="135"/>
      <c r="DN525" s="135"/>
      <c r="DO525" s="135"/>
      <c r="DP525" s="135"/>
      <c r="DQ525" s="135"/>
      <c r="DR525" s="135"/>
      <c r="DS525" s="135"/>
      <c r="DT525" s="135"/>
      <c r="DU525" s="135"/>
      <c r="DV525" s="135"/>
      <c r="DW525" s="135"/>
      <c r="DX525" s="135"/>
      <c r="DY525" s="135"/>
      <c r="DZ525" s="135"/>
      <c r="EA525" s="135"/>
      <c r="EB525" s="135"/>
      <c r="EC525" s="135"/>
      <c r="ED525" s="135"/>
      <c r="EE525" s="135"/>
      <c r="EF525" s="135"/>
      <c r="EG525" s="135"/>
      <c r="EH525" s="135"/>
      <c r="EI525" s="135"/>
      <c r="EJ525" s="135"/>
      <c r="EK525" s="135"/>
      <c r="EL525" s="135"/>
      <c r="EM525" s="135"/>
      <c r="EN525" s="135"/>
      <c r="EO525" s="135"/>
      <c r="EP525" s="135"/>
      <c r="EQ525" s="135"/>
      <c r="ER525" s="135"/>
      <c r="ES525" s="135"/>
      <c r="ET525" s="135"/>
      <c r="EU525" s="135"/>
      <c r="EV525" s="135"/>
      <c r="EW525" s="135"/>
    </row>
    <row r="526" spans="2:153" s="141" customFormat="1" x14ac:dyDescent="0.2">
      <c r="B526" s="134"/>
      <c r="C526" s="135"/>
      <c r="D526" s="136"/>
      <c r="E526" s="136"/>
      <c r="F526" s="137"/>
      <c r="G526" s="138"/>
      <c r="H526" s="138"/>
      <c r="I526" s="463"/>
      <c r="J526" s="134"/>
      <c r="K526" s="139"/>
      <c r="L526" s="140"/>
      <c r="N526" s="134"/>
      <c r="O526" s="134"/>
      <c r="P526" s="134"/>
      <c r="Q526" s="134"/>
      <c r="R526" s="140"/>
      <c r="S526" s="135"/>
      <c r="T526" s="135"/>
      <c r="U526" s="135"/>
      <c r="V526" s="135"/>
      <c r="W526" s="135"/>
      <c r="X526" s="135"/>
      <c r="Y526" s="135"/>
      <c r="Z526" s="135"/>
      <c r="AA526" s="135"/>
      <c r="AB526" s="135"/>
      <c r="AC526" s="135"/>
      <c r="AD526" s="135"/>
      <c r="AE526" s="135"/>
      <c r="AF526" s="135"/>
      <c r="AG526" s="135"/>
      <c r="AH526" s="135"/>
      <c r="AI526" s="135"/>
      <c r="AJ526" s="135"/>
      <c r="AK526" s="135"/>
      <c r="AL526" s="135"/>
      <c r="AM526" s="135"/>
      <c r="AN526" s="135"/>
      <c r="AO526" s="135"/>
      <c r="AP526" s="135"/>
      <c r="AQ526" s="135"/>
      <c r="AR526" s="135"/>
      <c r="AS526" s="135"/>
      <c r="AT526" s="135"/>
      <c r="AU526" s="135"/>
      <c r="AV526" s="135"/>
      <c r="AW526" s="135"/>
      <c r="AX526" s="135"/>
      <c r="AY526" s="135"/>
      <c r="AZ526" s="135"/>
      <c r="BA526" s="135"/>
      <c r="BB526" s="135"/>
      <c r="BC526" s="135"/>
      <c r="BD526" s="135"/>
      <c r="BE526" s="135"/>
      <c r="BF526" s="135"/>
      <c r="BG526" s="135"/>
      <c r="BH526" s="135"/>
      <c r="BI526" s="135"/>
      <c r="BJ526" s="135"/>
      <c r="BK526" s="135"/>
      <c r="BL526" s="135"/>
      <c r="BM526" s="135"/>
      <c r="BN526" s="135"/>
      <c r="BO526" s="135"/>
      <c r="BP526" s="135"/>
      <c r="BQ526" s="135"/>
      <c r="BR526" s="135"/>
      <c r="BS526" s="135"/>
      <c r="BT526" s="135"/>
      <c r="BU526" s="135"/>
      <c r="BV526" s="135"/>
      <c r="BW526" s="135"/>
      <c r="BX526" s="135"/>
      <c r="BY526" s="135"/>
      <c r="BZ526" s="135"/>
      <c r="CA526" s="135"/>
      <c r="CB526" s="135"/>
      <c r="CC526" s="135"/>
      <c r="CD526" s="135"/>
      <c r="CE526" s="135"/>
      <c r="CF526" s="135"/>
      <c r="CG526" s="135"/>
      <c r="CH526" s="135"/>
      <c r="CI526" s="135"/>
      <c r="CJ526" s="135"/>
      <c r="CK526" s="135"/>
      <c r="CL526" s="135"/>
      <c r="CM526" s="135"/>
      <c r="CN526" s="135"/>
      <c r="CO526" s="135"/>
      <c r="CP526" s="135"/>
      <c r="CQ526" s="135"/>
      <c r="CR526" s="135"/>
      <c r="CS526" s="135"/>
      <c r="CT526" s="135"/>
      <c r="CU526" s="135"/>
      <c r="CV526" s="135"/>
      <c r="CW526" s="135"/>
      <c r="CX526" s="135"/>
      <c r="CY526" s="135"/>
      <c r="CZ526" s="135"/>
      <c r="DA526" s="135"/>
      <c r="DB526" s="135"/>
      <c r="DC526" s="135"/>
      <c r="DD526" s="135"/>
      <c r="DE526" s="135"/>
      <c r="DF526" s="135"/>
      <c r="DG526" s="135"/>
      <c r="DH526" s="135"/>
      <c r="DI526" s="135"/>
      <c r="DJ526" s="135"/>
      <c r="DK526" s="135"/>
      <c r="DL526" s="135"/>
      <c r="DM526" s="135"/>
      <c r="DN526" s="135"/>
      <c r="DO526" s="135"/>
      <c r="DP526" s="135"/>
      <c r="DQ526" s="135"/>
      <c r="DR526" s="135"/>
      <c r="DS526" s="135"/>
      <c r="DT526" s="135"/>
      <c r="DU526" s="135"/>
      <c r="DV526" s="135"/>
      <c r="DW526" s="135"/>
      <c r="DX526" s="135"/>
      <c r="DY526" s="135"/>
      <c r="DZ526" s="135"/>
      <c r="EA526" s="135"/>
      <c r="EB526" s="135"/>
      <c r="EC526" s="135"/>
      <c r="ED526" s="135"/>
      <c r="EE526" s="135"/>
      <c r="EF526" s="135"/>
      <c r="EG526" s="135"/>
      <c r="EH526" s="135"/>
      <c r="EI526" s="135"/>
      <c r="EJ526" s="135"/>
      <c r="EK526" s="135"/>
      <c r="EL526" s="135"/>
      <c r="EM526" s="135"/>
      <c r="EN526" s="135"/>
      <c r="EO526" s="135"/>
      <c r="EP526" s="135"/>
      <c r="EQ526" s="135"/>
      <c r="ER526" s="135"/>
      <c r="ES526" s="135"/>
      <c r="ET526" s="135"/>
      <c r="EU526" s="135"/>
      <c r="EV526" s="135"/>
      <c r="EW526" s="135"/>
    </row>
    <row r="527" spans="2:153" s="141" customFormat="1" x14ac:dyDescent="0.2">
      <c r="B527" s="134"/>
      <c r="C527" s="135"/>
      <c r="D527" s="136"/>
      <c r="E527" s="136"/>
      <c r="F527" s="137"/>
      <c r="G527" s="138"/>
      <c r="H527" s="138"/>
      <c r="I527" s="463"/>
      <c r="J527" s="134"/>
      <c r="K527" s="139"/>
      <c r="L527" s="140"/>
      <c r="N527" s="134"/>
      <c r="O527" s="134"/>
      <c r="P527" s="134"/>
      <c r="Q527" s="134"/>
      <c r="R527" s="140"/>
      <c r="S527" s="135"/>
      <c r="T527" s="135"/>
      <c r="U527" s="135"/>
      <c r="V527" s="135"/>
      <c r="W527" s="135"/>
      <c r="X527" s="135"/>
      <c r="Y527" s="135"/>
      <c r="Z527" s="135"/>
      <c r="AA527" s="135"/>
      <c r="AB527" s="135"/>
      <c r="AC527" s="135"/>
      <c r="AD527" s="135"/>
      <c r="AE527" s="135"/>
      <c r="AF527" s="135"/>
      <c r="AG527" s="135"/>
      <c r="AH527" s="135"/>
      <c r="AI527" s="135"/>
      <c r="AJ527" s="135"/>
      <c r="AK527" s="135"/>
      <c r="AL527" s="135"/>
      <c r="AM527" s="135"/>
      <c r="AN527" s="135"/>
      <c r="AO527" s="135"/>
      <c r="AP527" s="135"/>
      <c r="AQ527" s="135"/>
      <c r="AR527" s="135"/>
      <c r="AS527" s="135"/>
      <c r="AT527" s="135"/>
      <c r="AU527" s="135"/>
      <c r="AV527" s="135"/>
      <c r="AW527" s="135"/>
      <c r="AX527" s="135"/>
      <c r="AY527" s="135"/>
      <c r="AZ527" s="135"/>
      <c r="BA527" s="135"/>
      <c r="BB527" s="135"/>
      <c r="BC527" s="135"/>
      <c r="BD527" s="135"/>
      <c r="BE527" s="135"/>
      <c r="BF527" s="135"/>
      <c r="BG527" s="135"/>
      <c r="BH527" s="135"/>
      <c r="BI527" s="135"/>
      <c r="BJ527" s="135"/>
      <c r="BK527" s="135"/>
      <c r="BL527" s="135"/>
      <c r="BM527" s="135"/>
      <c r="BN527" s="135"/>
      <c r="BO527" s="135"/>
      <c r="BP527" s="135"/>
      <c r="BQ527" s="135"/>
      <c r="BR527" s="135"/>
      <c r="BS527" s="135"/>
      <c r="BT527" s="135"/>
      <c r="BU527" s="135"/>
      <c r="BV527" s="135"/>
      <c r="BW527" s="135"/>
      <c r="BX527" s="135"/>
      <c r="BY527" s="135"/>
      <c r="BZ527" s="135"/>
      <c r="CA527" s="135"/>
      <c r="CB527" s="135"/>
      <c r="CC527" s="135"/>
      <c r="CD527" s="135"/>
      <c r="CE527" s="135"/>
      <c r="CF527" s="135"/>
      <c r="CG527" s="135"/>
      <c r="CH527" s="135"/>
      <c r="CI527" s="135"/>
      <c r="CJ527" s="135"/>
      <c r="CK527" s="135"/>
      <c r="CL527" s="135"/>
      <c r="CM527" s="135"/>
      <c r="CN527" s="135"/>
      <c r="CO527" s="135"/>
      <c r="CP527" s="135"/>
      <c r="CQ527" s="135"/>
      <c r="CR527" s="135"/>
      <c r="CS527" s="135"/>
      <c r="CT527" s="135"/>
      <c r="CU527" s="135"/>
      <c r="CV527" s="135"/>
      <c r="CW527" s="135"/>
      <c r="CX527" s="135"/>
      <c r="CY527" s="135"/>
      <c r="CZ527" s="135"/>
      <c r="DA527" s="135"/>
      <c r="DB527" s="135"/>
      <c r="DC527" s="135"/>
      <c r="DD527" s="135"/>
      <c r="DE527" s="135"/>
      <c r="DF527" s="135"/>
      <c r="DG527" s="135"/>
      <c r="DH527" s="135"/>
      <c r="DI527" s="135"/>
      <c r="DJ527" s="135"/>
      <c r="DK527" s="135"/>
      <c r="DL527" s="135"/>
      <c r="DM527" s="135"/>
      <c r="DN527" s="135"/>
      <c r="DO527" s="135"/>
      <c r="DP527" s="135"/>
      <c r="DQ527" s="135"/>
      <c r="DR527" s="135"/>
      <c r="DS527" s="135"/>
      <c r="DT527" s="135"/>
      <c r="DU527" s="135"/>
      <c r="DV527" s="135"/>
      <c r="DW527" s="135"/>
      <c r="DX527" s="135"/>
      <c r="DY527" s="135"/>
      <c r="DZ527" s="135"/>
      <c r="EA527" s="135"/>
      <c r="EB527" s="135"/>
      <c r="EC527" s="135"/>
      <c r="ED527" s="135"/>
      <c r="EE527" s="135"/>
      <c r="EF527" s="135"/>
      <c r="EG527" s="135"/>
      <c r="EH527" s="135"/>
      <c r="EI527" s="135"/>
      <c r="EJ527" s="135"/>
      <c r="EK527" s="135"/>
      <c r="EL527" s="135"/>
      <c r="EM527" s="135"/>
      <c r="EN527" s="135"/>
      <c r="EO527" s="135"/>
      <c r="EP527" s="135"/>
      <c r="EQ527" s="135"/>
      <c r="ER527" s="135"/>
      <c r="ES527" s="135"/>
      <c r="ET527" s="135"/>
      <c r="EU527" s="135"/>
      <c r="EV527" s="135"/>
      <c r="EW527" s="135"/>
    </row>
    <row r="528" spans="2:153" s="141" customFormat="1" x14ac:dyDescent="0.2">
      <c r="B528" s="134"/>
      <c r="C528" s="135"/>
      <c r="D528" s="136"/>
      <c r="E528" s="136"/>
      <c r="F528" s="137"/>
      <c r="G528" s="138"/>
      <c r="H528" s="138"/>
      <c r="I528" s="463"/>
      <c r="J528" s="134"/>
      <c r="K528" s="139"/>
      <c r="L528" s="140"/>
      <c r="N528" s="134"/>
      <c r="O528" s="134"/>
      <c r="P528" s="134"/>
      <c r="Q528" s="134"/>
      <c r="R528" s="140"/>
      <c r="S528" s="135"/>
      <c r="T528" s="135"/>
      <c r="U528" s="135"/>
      <c r="V528" s="135"/>
      <c r="W528" s="135"/>
      <c r="X528" s="135"/>
      <c r="Y528" s="135"/>
      <c r="Z528" s="135"/>
      <c r="AA528" s="135"/>
      <c r="AB528" s="135"/>
      <c r="AC528" s="135"/>
      <c r="AD528" s="135"/>
      <c r="AE528" s="135"/>
      <c r="AF528" s="135"/>
      <c r="AG528" s="135"/>
      <c r="AH528" s="135"/>
      <c r="AI528" s="135"/>
      <c r="AJ528" s="135"/>
      <c r="AK528" s="135"/>
      <c r="AL528" s="135"/>
      <c r="AM528" s="135"/>
      <c r="AN528" s="135"/>
      <c r="AO528" s="135"/>
      <c r="AP528" s="135"/>
      <c r="AQ528" s="135"/>
      <c r="AR528" s="135"/>
      <c r="AS528" s="135"/>
      <c r="AT528" s="135"/>
      <c r="AU528" s="135"/>
      <c r="AV528" s="135"/>
      <c r="AW528" s="135"/>
      <c r="AX528" s="135"/>
      <c r="AY528" s="135"/>
      <c r="AZ528" s="135"/>
      <c r="BA528" s="135"/>
      <c r="BB528" s="135"/>
      <c r="BC528" s="135"/>
      <c r="BD528" s="135"/>
      <c r="BE528" s="135"/>
      <c r="BF528" s="135"/>
      <c r="BG528" s="135"/>
      <c r="BH528" s="135"/>
      <c r="BI528" s="135"/>
      <c r="BJ528" s="135"/>
      <c r="BK528" s="135"/>
      <c r="BL528" s="135"/>
      <c r="BM528" s="135"/>
      <c r="BN528" s="135"/>
      <c r="BO528" s="135"/>
      <c r="BP528" s="135"/>
      <c r="BQ528" s="135"/>
      <c r="BR528" s="135"/>
      <c r="BS528" s="135"/>
      <c r="BT528" s="135"/>
      <c r="BU528" s="135"/>
      <c r="BV528" s="135"/>
      <c r="BW528" s="135"/>
      <c r="BX528" s="135"/>
      <c r="BY528" s="135"/>
      <c r="BZ528" s="135"/>
      <c r="CA528" s="135"/>
      <c r="CB528" s="135"/>
      <c r="CC528" s="135"/>
      <c r="CD528" s="135"/>
      <c r="CE528" s="135"/>
      <c r="CF528" s="135"/>
      <c r="CG528" s="135"/>
      <c r="CH528" s="135"/>
      <c r="CI528" s="135"/>
      <c r="CJ528" s="135"/>
      <c r="CK528" s="135"/>
      <c r="CL528" s="135"/>
      <c r="CM528" s="135"/>
      <c r="CN528" s="135"/>
      <c r="CO528" s="135"/>
      <c r="CP528" s="135"/>
      <c r="CQ528" s="135"/>
      <c r="CR528" s="135"/>
      <c r="CS528" s="135"/>
      <c r="CT528" s="135"/>
      <c r="CU528" s="135"/>
      <c r="CV528" s="135"/>
      <c r="CW528" s="135"/>
      <c r="CX528" s="135"/>
      <c r="CY528" s="135"/>
      <c r="CZ528" s="135"/>
      <c r="DA528" s="135"/>
      <c r="DB528" s="135"/>
      <c r="DC528" s="135"/>
      <c r="DD528" s="135"/>
      <c r="DE528" s="135"/>
      <c r="DF528" s="135"/>
      <c r="DG528" s="135"/>
      <c r="DH528" s="135"/>
      <c r="DI528" s="135"/>
      <c r="DJ528" s="135"/>
      <c r="DK528" s="135"/>
      <c r="DL528" s="135"/>
      <c r="DM528" s="135"/>
      <c r="DN528" s="135"/>
      <c r="DO528" s="135"/>
      <c r="DP528" s="135"/>
      <c r="DQ528" s="135"/>
      <c r="DR528" s="135"/>
      <c r="DS528" s="135"/>
      <c r="DT528" s="135"/>
      <c r="DU528" s="135"/>
      <c r="DV528" s="135"/>
      <c r="DW528" s="135"/>
      <c r="DX528" s="135"/>
      <c r="DY528" s="135"/>
      <c r="DZ528" s="135"/>
      <c r="EA528" s="135"/>
      <c r="EB528" s="135"/>
      <c r="EC528" s="135"/>
      <c r="ED528" s="135"/>
      <c r="EE528" s="135"/>
      <c r="EF528" s="135"/>
      <c r="EG528" s="135"/>
      <c r="EH528" s="135"/>
      <c r="EI528" s="135"/>
      <c r="EJ528" s="135"/>
      <c r="EK528" s="135"/>
      <c r="EL528" s="135"/>
      <c r="EM528" s="135"/>
      <c r="EN528" s="135"/>
      <c r="EO528" s="135"/>
      <c r="EP528" s="135"/>
      <c r="EQ528" s="135"/>
      <c r="ER528" s="135"/>
      <c r="ES528" s="135"/>
      <c r="ET528" s="135"/>
      <c r="EU528" s="135"/>
      <c r="EV528" s="135"/>
      <c r="EW528" s="135"/>
    </row>
    <row r="529" spans="2:153" s="141" customFormat="1" x14ac:dyDescent="0.2">
      <c r="B529" s="134"/>
      <c r="C529" s="135"/>
      <c r="D529" s="136"/>
      <c r="E529" s="136"/>
      <c r="F529" s="137"/>
      <c r="G529" s="138"/>
      <c r="H529" s="138"/>
      <c r="I529" s="463"/>
      <c r="J529" s="134"/>
      <c r="K529" s="139"/>
      <c r="L529" s="140"/>
      <c r="N529" s="134"/>
      <c r="O529" s="134"/>
      <c r="P529" s="134"/>
      <c r="Q529" s="134"/>
      <c r="R529" s="140"/>
      <c r="S529" s="135"/>
      <c r="T529" s="135"/>
      <c r="U529" s="135"/>
      <c r="V529" s="135"/>
      <c r="W529" s="135"/>
      <c r="X529" s="135"/>
      <c r="Y529" s="135"/>
      <c r="Z529" s="135"/>
      <c r="AA529" s="135"/>
      <c r="AB529" s="135"/>
      <c r="AC529" s="135"/>
      <c r="AD529" s="135"/>
      <c r="AE529" s="135"/>
      <c r="AF529" s="135"/>
      <c r="AG529" s="135"/>
      <c r="AH529" s="135"/>
      <c r="AI529" s="135"/>
      <c r="AJ529" s="135"/>
      <c r="AK529" s="135"/>
      <c r="AL529" s="135"/>
      <c r="AM529" s="135"/>
      <c r="AN529" s="135"/>
      <c r="AO529" s="135"/>
      <c r="AP529" s="135"/>
      <c r="AQ529" s="135"/>
      <c r="AR529" s="135"/>
      <c r="AS529" s="135"/>
      <c r="AT529" s="135"/>
      <c r="AU529" s="135"/>
      <c r="AV529" s="135"/>
      <c r="AW529" s="135"/>
      <c r="AX529" s="135"/>
      <c r="AY529" s="135"/>
      <c r="AZ529" s="135"/>
      <c r="BA529" s="135"/>
      <c r="BB529" s="135"/>
      <c r="BC529" s="135"/>
      <c r="BD529" s="135"/>
      <c r="BE529" s="135"/>
      <c r="BF529" s="135"/>
      <c r="BG529" s="135"/>
      <c r="BH529" s="135"/>
      <c r="BI529" s="135"/>
      <c r="BJ529" s="135"/>
      <c r="BK529" s="135"/>
      <c r="BL529" s="135"/>
      <c r="BM529" s="135"/>
      <c r="BN529" s="135"/>
      <c r="BO529" s="135"/>
      <c r="BP529" s="135"/>
      <c r="BQ529" s="135"/>
      <c r="BR529" s="135"/>
      <c r="BS529" s="135"/>
      <c r="BT529" s="135"/>
      <c r="BU529" s="135"/>
      <c r="BV529" s="135"/>
      <c r="BW529" s="135"/>
      <c r="BX529" s="135"/>
      <c r="BY529" s="135"/>
      <c r="BZ529" s="135"/>
      <c r="CA529" s="135"/>
      <c r="CB529" s="135"/>
      <c r="CC529" s="135"/>
      <c r="CD529" s="135"/>
      <c r="CE529" s="135"/>
      <c r="CF529" s="135"/>
      <c r="CG529" s="135"/>
      <c r="CH529" s="135"/>
      <c r="CI529" s="135"/>
      <c r="CJ529" s="135"/>
      <c r="CK529" s="135"/>
      <c r="CL529" s="135"/>
      <c r="CM529" s="135"/>
      <c r="CN529" s="135"/>
      <c r="CO529" s="135"/>
      <c r="CP529" s="135"/>
      <c r="CQ529" s="135"/>
      <c r="CR529" s="135"/>
      <c r="CS529" s="135"/>
      <c r="CT529" s="135"/>
      <c r="CU529" s="135"/>
      <c r="CV529" s="135"/>
      <c r="CW529" s="135"/>
      <c r="CX529" s="135"/>
      <c r="CY529" s="135"/>
      <c r="CZ529" s="135"/>
      <c r="DA529" s="135"/>
      <c r="DB529" s="135"/>
      <c r="DC529" s="135"/>
      <c r="DD529" s="135"/>
      <c r="DE529" s="135"/>
      <c r="DF529" s="135"/>
      <c r="DG529" s="135"/>
      <c r="DH529" s="135"/>
      <c r="DI529" s="135"/>
      <c r="DJ529" s="135"/>
      <c r="DK529" s="135"/>
      <c r="DL529" s="135"/>
      <c r="DM529" s="135"/>
      <c r="DN529" s="135"/>
      <c r="DO529" s="135"/>
      <c r="DP529" s="135"/>
      <c r="DQ529" s="135"/>
      <c r="DR529" s="135"/>
      <c r="DS529" s="135"/>
      <c r="DT529" s="135"/>
      <c r="DU529" s="135"/>
      <c r="DV529" s="135"/>
      <c r="DW529" s="135"/>
      <c r="DX529" s="135"/>
      <c r="DY529" s="135"/>
      <c r="DZ529" s="135"/>
      <c r="EA529" s="135"/>
      <c r="EB529" s="135"/>
      <c r="EC529" s="135"/>
      <c r="ED529" s="135"/>
      <c r="EE529" s="135"/>
      <c r="EF529" s="135"/>
      <c r="EG529" s="135"/>
      <c r="EH529" s="135"/>
      <c r="EI529" s="135"/>
      <c r="EJ529" s="135"/>
      <c r="EK529" s="135"/>
      <c r="EL529" s="135"/>
      <c r="EM529" s="135"/>
      <c r="EN529" s="135"/>
      <c r="EO529" s="135"/>
      <c r="EP529" s="135"/>
      <c r="EQ529" s="135"/>
      <c r="ER529" s="135"/>
      <c r="ES529" s="135"/>
      <c r="ET529" s="135"/>
      <c r="EU529" s="135"/>
      <c r="EV529" s="135"/>
      <c r="EW529" s="135"/>
    </row>
    <row r="530" spans="2:153" s="141" customFormat="1" x14ac:dyDescent="0.2">
      <c r="B530" s="134"/>
      <c r="C530" s="135"/>
      <c r="D530" s="136"/>
      <c r="E530" s="136"/>
      <c r="F530" s="137"/>
      <c r="G530" s="138"/>
      <c r="H530" s="138"/>
      <c r="I530" s="463"/>
      <c r="J530" s="134"/>
      <c r="K530" s="139"/>
      <c r="L530" s="140"/>
      <c r="N530" s="134"/>
      <c r="O530" s="134"/>
      <c r="P530" s="134"/>
      <c r="Q530" s="134"/>
      <c r="R530" s="140"/>
      <c r="S530" s="135"/>
      <c r="T530" s="135"/>
      <c r="U530" s="135"/>
      <c r="V530" s="135"/>
      <c r="W530" s="135"/>
      <c r="X530" s="135"/>
      <c r="Y530" s="135"/>
      <c r="Z530" s="135"/>
      <c r="AA530" s="135"/>
      <c r="AB530" s="135"/>
      <c r="AC530" s="135"/>
      <c r="AD530" s="135"/>
      <c r="AE530" s="135"/>
      <c r="AF530" s="135"/>
      <c r="AG530" s="135"/>
      <c r="AH530" s="135"/>
      <c r="AI530" s="135"/>
      <c r="AJ530" s="135"/>
      <c r="AK530" s="135"/>
      <c r="AL530" s="135"/>
      <c r="AM530" s="135"/>
      <c r="AN530" s="135"/>
      <c r="AO530" s="135"/>
      <c r="AP530" s="135"/>
      <c r="AQ530" s="135"/>
      <c r="AR530" s="135"/>
      <c r="AS530" s="135"/>
      <c r="AT530" s="135"/>
      <c r="AU530" s="135"/>
      <c r="AV530" s="135"/>
      <c r="AW530" s="135"/>
      <c r="AX530" s="135"/>
      <c r="AY530" s="135"/>
      <c r="AZ530" s="135"/>
      <c r="BA530" s="135"/>
      <c r="BB530" s="135"/>
      <c r="BC530" s="135"/>
      <c r="BD530" s="135"/>
      <c r="BE530" s="135"/>
      <c r="BF530" s="135"/>
      <c r="BG530" s="135"/>
      <c r="BH530" s="135"/>
      <c r="BI530" s="135"/>
      <c r="BJ530" s="135"/>
      <c r="BK530" s="135"/>
      <c r="BL530" s="135"/>
      <c r="BM530" s="135"/>
      <c r="BN530" s="135"/>
      <c r="BO530" s="135"/>
      <c r="BP530" s="135"/>
      <c r="BQ530" s="135"/>
      <c r="BR530" s="135"/>
      <c r="BS530" s="135"/>
      <c r="BT530" s="135"/>
      <c r="BU530" s="135"/>
      <c r="BV530" s="135"/>
      <c r="BW530" s="135"/>
      <c r="BX530" s="135"/>
      <c r="BY530" s="135"/>
      <c r="BZ530" s="135"/>
      <c r="CA530" s="135"/>
      <c r="CB530" s="135"/>
      <c r="CC530" s="135"/>
      <c r="CD530" s="135"/>
      <c r="CE530" s="135"/>
      <c r="CF530" s="135"/>
      <c r="CG530" s="135"/>
      <c r="CH530" s="135"/>
      <c r="CI530" s="135"/>
      <c r="CJ530" s="135"/>
      <c r="CK530" s="135"/>
      <c r="CL530" s="135"/>
      <c r="CM530" s="135"/>
      <c r="CN530" s="135"/>
      <c r="CO530" s="135"/>
      <c r="CP530" s="135"/>
      <c r="CQ530" s="135"/>
      <c r="CR530" s="135"/>
      <c r="CS530" s="135"/>
      <c r="CT530" s="135"/>
      <c r="CU530" s="135"/>
      <c r="CV530" s="135"/>
      <c r="CW530" s="135"/>
      <c r="CX530" s="135"/>
      <c r="CY530" s="135"/>
      <c r="CZ530" s="135"/>
      <c r="DA530" s="135"/>
      <c r="DB530" s="135"/>
      <c r="DC530" s="135"/>
      <c r="DD530" s="135"/>
      <c r="DE530" s="135"/>
      <c r="DF530" s="135"/>
      <c r="DG530" s="135"/>
      <c r="DH530" s="135"/>
      <c r="DI530" s="135"/>
      <c r="DJ530" s="135"/>
      <c r="DK530" s="135"/>
      <c r="DL530" s="135"/>
      <c r="DM530" s="135"/>
      <c r="DN530" s="135"/>
      <c r="DO530" s="135"/>
      <c r="DP530" s="135"/>
      <c r="DQ530" s="135"/>
      <c r="DR530" s="135"/>
      <c r="DS530" s="135"/>
      <c r="DT530" s="135"/>
      <c r="DU530" s="135"/>
      <c r="DV530" s="135"/>
      <c r="DW530" s="135"/>
      <c r="DX530" s="135"/>
      <c r="DY530" s="135"/>
      <c r="DZ530" s="135"/>
      <c r="EA530" s="135"/>
      <c r="EB530" s="135"/>
      <c r="EC530" s="135"/>
      <c r="ED530" s="135"/>
      <c r="EE530" s="135"/>
      <c r="EF530" s="135"/>
      <c r="EG530" s="135"/>
      <c r="EH530" s="135"/>
      <c r="EI530" s="135"/>
      <c r="EJ530" s="135"/>
      <c r="EK530" s="135"/>
      <c r="EL530" s="135"/>
      <c r="EM530" s="135"/>
      <c r="EN530" s="135"/>
      <c r="EO530" s="135"/>
      <c r="EP530" s="135"/>
      <c r="EQ530" s="135"/>
      <c r="ER530" s="135"/>
      <c r="ES530" s="135"/>
      <c r="ET530" s="135"/>
      <c r="EU530" s="135"/>
      <c r="EV530" s="135"/>
      <c r="EW530" s="135"/>
    </row>
    <row r="531" spans="2:153" s="141" customFormat="1" x14ac:dyDescent="0.2">
      <c r="B531" s="134"/>
      <c r="C531" s="135"/>
      <c r="D531" s="136"/>
      <c r="E531" s="136"/>
      <c r="F531" s="137"/>
      <c r="G531" s="138"/>
      <c r="H531" s="138"/>
      <c r="I531" s="463"/>
      <c r="J531" s="134"/>
      <c r="K531" s="139"/>
      <c r="L531" s="140"/>
      <c r="N531" s="134"/>
      <c r="O531" s="134"/>
      <c r="P531" s="134"/>
      <c r="Q531" s="134"/>
      <c r="R531" s="140"/>
      <c r="S531" s="135"/>
      <c r="T531" s="135"/>
      <c r="U531" s="135"/>
      <c r="V531" s="135"/>
      <c r="W531" s="135"/>
      <c r="X531" s="135"/>
      <c r="Y531" s="135"/>
      <c r="Z531" s="135"/>
      <c r="AA531" s="135"/>
      <c r="AB531" s="135"/>
      <c r="AC531" s="135"/>
      <c r="AD531" s="135"/>
      <c r="AE531" s="135"/>
      <c r="AF531" s="135"/>
      <c r="AG531" s="135"/>
      <c r="AH531" s="135"/>
      <c r="AI531" s="135"/>
      <c r="AJ531" s="135"/>
      <c r="AK531" s="135"/>
      <c r="AL531" s="135"/>
      <c r="AM531" s="135"/>
      <c r="AN531" s="135"/>
      <c r="AO531" s="135"/>
      <c r="AP531" s="135"/>
      <c r="AQ531" s="135"/>
      <c r="AR531" s="135"/>
      <c r="AS531" s="135"/>
      <c r="AT531" s="135"/>
      <c r="AU531" s="135"/>
      <c r="AV531" s="135"/>
      <c r="AW531" s="135"/>
      <c r="AX531" s="135"/>
      <c r="AY531" s="135"/>
      <c r="AZ531" s="135"/>
      <c r="BA531" s="135"/>
      <c r="BB531" s="135"/>
      <c r="BC531" s="135"/>
      <c r="BD531" s="135"/>
      <c r="BE531" s="135"/>
      <c r="BF531" s="135"/>
      <c r="BG531" s="135"/>
      <c r="BH531" s="135"/>
      <c r="BI531" s="135"/>
      <c r="BJ531" s="135"/>
      <c r="BK531" s="135"/>
      <c r="BL531" s="135"/>
      <c r="BM531" s="135"/>
      <c r="BN531" s="135"/>
      <c r="BO531" s="135"/>
      <c r="BP531" s="135"/>
      <c r="BQ531" s="135"/>
      <c r="BR531" s="135"/>
      <c r="BS531" s="135"/>
      <c r="BT531" s="135"/>
      <c r="BU531" s="135"/>
      <c r="BV531" s="135"/>
      <c r="BW531" s="135"/>
      <c r="BX531" s="135"/>
      <c r="BY531" s="135"/>
      <c r="BZ531" s="135"/>
      <c r="CA531" s="135"/>
      <c r="CB531" s="135"/>
      <c r="CC531" s="135"/>
      <c r="CD531" s="135"/>
      <c r="CE531" s="135"/>
      <c r="CF531" s="135"/>
      <c r="CG531" s="135"/>
      <c r="CH531" s="135"/>
      <c r="CI531" s="135"/>
      <c r="CJ531" s="135"/>
      <c r="CK531" s="135"/>
      <c r="CL531" s="135"/>
      <c r="CM531" s="135"/>
      <c r="CN531" s="135"/>
      <c r="CO531" s="135"/>
      <c r="CP531" s="135"/>
      <c r="CQ531" s="135"/>
      <c r="CR531" s="135"/>
      <c r="CS531" s="135"/>
      <c r="CT531" s="135"/>
      <c r="CU531" s="135"/>
      <c r="CV531" s="135"/>
      <c r="CW531" s="135"/>
      <c r="CX531" s="135"/>
      <c r="CY531" s="135"/>
      <c r="CZ531" s="135"/>
      <c r="DA531" s="135"/>
      <c r="DB531" s="135"/>
      <c r="DC531" s="135"/>
      <c r="DD531" s="135"/>
      <c r="DE531" s="135"/>
      <c r="DF531" s="135"/>
      <c r="DG531" s="135"/>
      <c r="DH531" s="135"/>
      <c r="DI531" s="135"/>
      <c r="DJ531" s="135"/>
      <c r="DK531" s="135"/>
      <c r="DL531" s="135"/>
      <c r="DM531" s="135"/>
      <c r="DN531" s="135"/>
      <c r="DO531" s="135"/>
      <c r="DP531" s="135"/>
      <c r="DQ531" s="135"/>
      <c r="DR531" s="135"/>
      <c r="DS531" s="135"/>
      <c r="DT531" s="135"/>
      <c r="DU531" s="135"/>
      <c r="DV531" s="135"/>
      <c r="DW531" s="135"/>
      <c r="DX531" s="135"/>
      <c r="DY531" s="135"/>
      <c r="DZ531" s="135"/>
      <c r="EA531" s="135"/>
      <c r="EB531" s="135"/>
      <c r="EC531" s="135"/>
      <c r="ED531" s="135"/>
      <c r="EE531" s="135"/>
      <c r="EF531" s="135"/>
      <c r="EG531" s="135"/>
      <c r="EH531" s="135"/>
      <c r="EI531" s="135"/>
      <c r="EJ531" s="135"/>
      <c r="EK531" s="135"/>
      <c r="EL531" s="135"/>
      <c r="EM531" s="135"/>
      <c r="EN531" s="135"/>
      <c r="EO531" s="135"/>
      <c r="EP531" s="135"/>
      <c r="EQ531" s="135"/>
      <c r="ER531" s="135"/>
      <c r="ES531" s="135"/>
      <c r="ET531" s="135"/>
      <c r="EU531" s="135"/>
      <c r="EV531" s="135"/>
      <c r="EW531" s="135"/>
    </row>
    <row r="532" spans="2:153" s="141" customFormat="1" x14ac:dyDescent="0.2">
      <c r="B532" s="134"/>
      <c r="C532" s="135"/>
      <c r="D532" s="136"/>
      <c r="E532" s="136"/>
      <c r="F532" s="137"/>
      <c r="G532" s="138"/>
      <c r="H532" s="138"/>
      <c r="I532" s="463"/>
      <c r="J532" s="134"/>
      <c r="K532" s="139"/>
      <c r="L532" s="140"/>
      <c r="N532" s="134"/>
      <c r="O532" s="134"/>
      <c r="P532" s="134"/>
      <c r="Q532" s="134"/>
      <c r="R532" s="140"/>
      <c r="S532" s="135"/>
      <c r="T532" s="135"/>
      <c r="U532" s="135"/>
      <c r="V532" s="135"/>
      <c r="W532" s="135"/>
      <c r="X532" s="135"/>
      <c r="Y532" s="135"/>
      <c r="Z532" s="135"/>
      <c r="AA532" s="135"/>
      <c r="AB532" s="135"/>
      <c r="AC532" s="135"/>
      <c r="AD532" s="135"/>
      <c r="AE532" s="135"/>
      <c r="AF532" s="135"/>
      <c r="AG532" s="135"/>
      <c r="AH532" s="135"/>
      <c r="AI532" s="135"/>
      <c r="AJ532" s="135"/>
      <c r="AK532" s="135"/>
      <c r="AL532" s="135"/>
      <c r="AM532" s="135"/>
      <c r="AN532" s="135"/>
      <c r="AO532" s="135"/>
      <c r="AP532" s="135"/>
      <c r="AQ532" s="135"/>
      <c r="AR532" s="135"/>
      <c r="AS532" s="135"/>
      <c r="AT532" s="135"/>
      <c r="AU532" s="135"/>
      <c r="AV532" s="135"/>
      <c r="AW532" s="135"/>
      <c r="AX532" s="135"/>
      <c r="AY532" s="135"/>
      <c r="AZ532" s="135"/>
      <c r="BA532" s="135"/>
      <c r="BB532" s="135"/>
      <c r="BC532" s="135"/>
      <c r="BD532" s="135"/>
      <c r="BE532" s="135"/>
      <c r="BF532" s="135"/>
      <c r="BG532" s="135"/>
      <c r="BH532" s="135"/>
      <c r="BI532" s="135"/>
      <c r="BJ532" s="135"/>
      <c r="BK532" s="135"/>
      <c r="BL532" s="135"/>
      <c r="BM532" s="135"/>
      <c r="BN532" s="135"/>
      <c r="BO532" s="135"/>
      <c r="BP532" s="135"/>
      <c r="BQ532" s="135"/>
      <c r="BR532" s="135"/>
      <c r="BS532" s="135"/>
      <c r="BT532" s="135"/>
      <c r="BU532" s="135"/>
      <c r="BV532" s="135"/>
      <c r="BW532" s="135"/>
      <c r="BX532" s="135"/>
      <c r="BY532" s="135"/>
      <c r="BZ532" s="135"/>
      <c r="CA532" s="135"/>
      <c r="CB532" s="135"/>
      <c r="CC532" s="135"/>
      <c r="CD532" s="135"/>
      <c r="CE532" s="135"/>
      <c r="CF532" s="135"/>
      <c r="CG532" s="135"/>
      <c r="CH532" s="135"/>
      <c r="CI532" s="135"/>
      <c r="CJ532" s="135"/>
      <c r="CK532" s="135"/>
      <c r="CL532" s="135"/>
      <c r="CM532" s="135"/>
      <c r="CN532" s="135"/>
      <c r="CO532" s="135"/>
      <c r="CP532" s="135"/>
      <c r="CQ532" s="135"/>
      <c r="CR532" s="135"/>
      <c r="CS532" s="135"/>
      <c r="CT532" s="135"/>
      <c r="CU532" s="135"/>
      <c r="CV532" s="135"/>
      <c r="CW532" s="135"/>
      <c r="CX532" s="135"/>
      <c r="CY532" s="135"/>
      <c r="CZ532" s="135"/>
      <c r="DA532" s="135"/>
      <c r="DB532" s="135"/>
      <c r="DC532" s="135"/>
      <c r="DD532" s="135"/>
      <c r="DE532" s="135"/>
      <c r="DF532" s="135"/>
      <c r="DG532" s="135"/>
      <c r="DH532" s="135"/>
      <c r="DI532" s="135"/>
      <c r="DJ532" s="135"/>
      <c r="DK532" s="135"/>
      <c r="DL532" s="135"/>
      <c r="DM532" s="135"/>
      <c r="DN532" s="135"/>
      <c r="DO532" s="135"/>
      <c r="DP532" s="135"/>
      <c r="DQ532" s="135"/>
      <c r="DR532" s="135"/>
      <c r="DS532" s="135"/>
      <c r="DT532" s="135"/>
      <c r="DU532" s="135"/>
      <c r="DV532" s="135"/>
      <c r="DW532" s="135"/>
      <c r="DX532" s="135"/>
      <c r="DY532" s="135"/>
      <c r="DZ532" s="135"/>
      <c r="EA532" s="135"/>
      <c r="EB532" s="135"/>
      <c r="EC532" s="135"/>
      <c r="ED532" s="135"/>
      <c r="EE532" s="135"/>
      <c r="EF532" s="135"/>
      <c r="EG532" s="135"/>
      <c r="EH532" s="135"/>
      <c r="EI532" s="135"/>
      <c r="EJ532" s="135"/>
      <c r="EK532" s="135"/>
      <c r="EL532" s="135"/>
      <c r="EM532" s="135"/>
      <c r="EN532" s="135"/>
      <c r="EO532" s="135"/>
      <c r="EP532" s="135"/>
      <c r="EQ532" s="135"/>
      <c r="ER532" s="135"/>
      <c r="ES532" s="135"/>
      <c r="ET532" s="135"/>
      <c r="EU532" s="135"/>
      <c r="EV532" s="135"/>
      <c r="EW532" s="135"/>
    </row>
    <row r="533" spans="2:153" s="141" customFormat="1" x14ac:dyDescent="0.2">
      <c r="B533" s="134"/>
      <c r="C533" s="135"/>
      <c r="D533" s="136"/>
      <c r="E533" s="136"/>
      <c r="F533" s="137"/>
      <c r="G533" s="138"/>
      <c r="H533" s="138"/>
      <c r="I533" s="463"/>
      <c r="J533" s="134"/>
      <c r="K533" s="139"/>
      <c r="L533" s="140"/>
      <c r="N533" s="134"/>
      <c r="O533" s="134"/>
      <c r="P533" s="134"/>
      <c r="Q533" s="134"/>
      <c r="R533" s="140"/>
      <c r="S533" s="135"/>
      <c r="T533" s="135"/>
      <c r="U533" s="135"/>
      <c r="V533" s="135"/>
      <c r="W533" s="135"/>
      <c r="X533" s="135"/>
      <c r="Y533" s="135"/>
      <c r="Z533" s="135"/>
      <c r="AA533" s="135"/>
      <c r="AB533" s="135"/>
      <c r="AC533" s="135"/>
      <c r="AD533" s="135"/>
      <c r="AE533" s="135"/>
      <c r="AF533" s="135"/>
      <c r="AG533" s="135"/>
      <c r="AH533" s="135"/>
      <c r="AI533" s="135"/>
      <c r="AJ533" s="135"/>
      <c r="AK533" s="135"/>
      <c r="AL533" s="135"/>
      <c r="AM533" s="135"/>
      <c r="AN533" s="135"/>
      <c r="AO533" s="135"/>
      <c r="AP533" s="135"/>
      <c r="AQ533" s="135"/>
      <c r="AR533" s="135"/>
      <c r="AS533" s="135"/>
      <c r="AT533" s="135"/>
      <c r="AU533" s="135"/>
      <c r="AV533" s="135"/>
      <c r="AW533" s="135"/>
      <c r="AX533" s="135"/>
      <c r="AY533" s="135"/>
      <c r="AZ533" s="135"/>
      <c r="BA533" s="135"/>
      <c r="BB533" s="135"/>
      <c r="BC533" s="135"/>
      <c r="BD533" s="135"/>
      <c r="BE533" s="135"/>
      <c r="BF533" s="135"/>
      <c r="BG533" s="135"/>
      <c r="BH533" s="135"/>
      <c r="BI533" s="135"/>
      <c r="BJ533" s="135"/>
      <c r="BK533" s="135"/>
      <c r="BL533" s="135"/>
      <c r="BM533" s="135"/>
      <c r="BN533" s="135"/>
      <c r="BO533" s="135"/>
      <c r="BP533" s="135"/>
      <c r="BQ533" s="135"/>
      <c r="BR533" s="135"/>
      <c r="BS533" s="135"/>
      <c r="BT533" s="135"/>
      <c r="BU533" s="135"/>
      <c r="BV533" s="135"/>
      <c r="BW533" s="135"/>
      <c r="BX533" s="135"/>
      <c r="BY533" s="135"/>
      <c r="BZ533" s="135"/>
      <c r="CA533" s="135"/>
      <c r="CB533" s="135"/>
      <c r="CC533" s="135"/>
      <c r="CD533" s="135"/>
      <c r="CE533" s="135"/>
      <c r="CF533" s="135"/>
      <c r="CG533" s="135"/>
      <c r="CH533" s="135"/>
      <c r="CI533" s="135"/>
      <c r="CJ533" s="135"/>
      <c r="CK533" s="135"/>
      <c r="CL533" s="135"/>
      <c r="CM533" s="135"/>
      <c r="CN533" s="135"/>
      <c r="CO533" s="135"/>
      <c r="CP533" s="135"/>
      <c r="CQ533" s="135"/>
      <c r="CR533" s="135"/>
      <c r="CS533" s="135"/>
      <c r="CT533" s="135"/>
      <c r="CU533" s="135"/>
      <c r="CV533" s="135"/>
      <c r="CW533" s="135"/>
      <c r="CX533" s="135"/>
      <c r="CY533" s="135"/>
      <c r="CZ533" s="135"/>
      <c r="DA533" s="135"/>
      <c r="DB533" s="135"/>
      <c r="DC533" s="135"/>
      <c r="DD533" s="135"/>
      <c r="DE533" s="135"/>
      <c r="DF533" s="135"/>
      <c r="DG533" s="135"/>
      <c r="DH533" s="135"/>
      <c r="DI533" s="135"/>
      <c r="DJ533" s="135"/>
      <c r="DK533" s="135"/>
      <c r="DL533" s="135"/>
      <c r="DM533" s="135"/>
      <c r="DN533" s="135"/>
      <c r="DO533" s="135"/>
      <c r="DP533" s="135"/>
      <c r="DQ533" s="135"/>
      <c r="DR533" s="135"/>
      <c r="DS533" s="135"/>
      <c r="DT533" s="135"/>
      <c r="DU533" s="135"/>
      <c r="DV533" s="135"/>
      <c r="DW533" s="135"/>
      <c r="DX533" s="135"/>
      <c r="DY533" s="135"/>
      <c r="DZ533" s="135"/>
      <c r="EA533" s="135"/>
      <c r="EB533" s="135"/>
      <c r="EC533" s="135"/>
      <c r="ED533" s="135"/>
      <c r="EE533" s="135"/>
      <c r="EF533" s="135"/>
      <c r="EG533" s="135"/>
      <c r="EH533" s="135"/>
      <c r="EI533" s="135"/>
      <c r="EJ533" s="135"/>
      <c r="EK533" s="135"/>
      <c r="EL533" s="135"/>
      <c r="EM533" s="135"/>
      <c r="EN533" s="135"/>
      <c r="EO533" s="135"/>
      <c r="EP533" s="135"/>
      <c r="EQ533" s="135"/>
      <c r="ER533" s="135"/>
      <c r="ES533" s="135"/>
      <c r="ET533" s="135"/>
      <c r="EU533" s="135"/>
      <c r="EV533" s="135"/>
      <c r="EW533" s="135"/>
    </row>
    <row r="534" spans="2:153" s="141" customFormat="1" x14ac:dyDescent="0.2">
      <c r="B534" s="134"/>
      <c r="C534" s="135"/>
      <c r="D534" s="136"/>
      <c r="E534" s="136"/>
      <c r="F534" s="137"/>
      <c r="G534" s="138"/>
      <c r="H534" s="138"/>
      <c r="I534" s="463"/>
      <c r="J534" s="134"/>
      <c r="K534" s="139"/>
      <c r="L534" s="140"/>
      <c r="N534" s="134"/>
      <c r="O534" s="134"/>
      <c r="P534" s="134"/>
      <c r="Q534" s="134"/>
      <c r="R534" s="140"/>
      <c r="S534" s="135"/>
      <c r="T534" s="135"/>
      <c r="U534" s="135"/>
      <c r="V534" s="135"/>
      <c r="W534" s="135"/>
      <c r="X534" s="135"/>
      <c r="Y534" s="135"/>
      <c r="Z534" s="135"/>
      <c r="AA534" s="135"/>
      <c r="AB534" s="135"/>
      <c r="AC534" s="135"/>
      <c r="AD534" s="135"/>
      <c r="AE534" s="135"/>
      <c r="AF534" s="135"/>
      <c r="AG534" s="135"/>
      <c r="AH534" s="135"/>
      <c r="AI534" s="135"/>
      <c r="AJ534" s="135"/>
      <c r="AK534" s="135"/>
      <c r="AL534" s="135"/>
      <c r="AM534" s="135"/>
      <c r="AN534" s="135"/>
      <c r="AO534" s="135"/>
      <c r="AP534" s="135"/>
      <c r="AQ534" s="135"/>
      <c r="AR534" s="135"/>
      <c r="AS534" s="135"/>
      <c r="AT534" s="135"/>
      <c r="AU534" s="135"/>
      <c r="AV534" s="135"/>
      <c r="AW534" s="135"/>
      <c r="AX534" s="135"/>
      <c r="AY534" s="135"/>
      <c r="AZ534" s="135"/>
      <c r="BA534" s="135"/>
      <c r="BB534" s="135"/>
      <c r="BC534" s="135"/>
      <c r="BD534" s="135"/>
      <c r="BE534" s="135"/>
      <c r="BF534" s="135"/>
      <c r="BG534" s="135"/>
      <c r="BH534" s="135"/>
      <c r="BI534" s="135"/>
      <c r="BJ534" s="135"/>
      <c r="BK534" s="135"/>
      <c r="BL534" s="135"/>
      <c r="BM534" s="135"/>
      <c r="BN534" s="135"/>
      <c r="BO534" s="135"/>
      <c r="BP534" s="135"/>
      <c r="BQ534" s="135"/>
      <c r="BR534" s="135"/>
      <c r="BS534" s="135"/>
      <c r="BT534" s="135"/>
      <c r="BU534" s="135"/>
      <c r="BV534" s="135"/>
      <c r="BW534" s="135"/>
      <c r="BX534" s="135"/>
      <c r="BY534" s="135"/>
      <c r="BZ534" s="135"/>
      <c r="CA534" s="135"/>
      <c r="CB534" s="135"/>
      <c r="CC534" s="135"/>
      <c r="CD534" s="135"/>
      <c r="CE534" s="135"/>
      <c r="CF534" s="135"/>
      <c r="CG534" s="135"/>
      <c r="CH534" s="135"/>
      <c r="CI534" s="135"/>
      <c r="CJ534" s="135"/>
      <c r="CK534" s="135"/>
      <c r="CL534" s="135"/>
      <c r="CM534" s="135"/>
      <c r="CN534" s="135"/>
      <c r="CO534" s="135"/>
      <c r="CP534" s="135"/>
      <c r="CQ534" s="135"/>
      <c r="CR534" s="135"/>
      <c r="CS534" s="135"/>
      <c r="CT534" s="135"/>
      <c r="CU534" s="135"/>
      <c r="CV534" s="135"/>
      <c r="CW534" s="135"/>
      <c r="CX534" s="135"/>
      <c r="CY534" s="135"/>
      <c r="CZ534" s="135"/>
      <c r="DA534" s="135"/>
      <c r="DB534" s="135"/>
      <c r="DC534" s="135"/>
      <c r="DD534" s="135"/>
      <c r="DE534" s="135"/>
      <c r="DF534" s="135"/>
      <c r="DG534" s="135"/>
      <c r="DH534" s="135"/>
      <c r="DI534" s="135"/>
      <c r="DJ534" s="135"/>
      <c r="DK534" s="135"/>
      <c r="DL534" s="135"/>
      <c r="DM534" s="135"/>
      <c r="DN534" s="135"/>
      <c r="DO534" s="135"/>
      <c r="DP534" s="135"/>
      <c r="DQ534" s="135"/>
      <c r="DR534" s="135"/>
      <c r="DS534" s="135"/>
      <c r="DT534" s="135"/>
      <c r="DU534" s="135"/>
      <c r="DV534" s="135"/>
      <c r="DW534" s="135"/>
      <c r="DX534" s="135"/>
      <c r="DY534" s="135"/>
      <c r="DZ534" s="135"/>
      <c r="EA534" s="135"/>
      <c r="EB534" s="135"/>
      <c r="EC534" s="135"/>
      <c r="ED534" s="135"/>
      <c r="EE534" s="135"/>
      <c r="EF534" s="135"/>
      <c r="EG534" s="135"/>
      <c r="EH534" s="135"/>
      <c r="EI534" s="135"/>
      <c r="EJ534" s="135"/>
      <c r="EK534" s="135"/>
      <c r="EL534" s="135"/>
      <c r="EM534" s="135"/>
      <c r="EN534" s="135"/>
      <c r="EO534" s="135"/>
      <c r="EP534" s="135"/>
      <c r="EQ534" s="135"/>
      <c r="ER534" s="135"/>
      <c r="ES534" s="135"/>
      <c r="ET534" s="135"/>
      <c r="EU534" s="135"/>
      <c r="EV534" s="135"/>
      <c r="EW534" s="135"/>
    </row>
    <row r="535" spans="2:153" s="141" customFormat="1" x14ac:dyDescent="0.2">
      <c r="B535" s="134"/>
      <c r="C535" s="135"/>
      <c r="D535" s="136"/>
      <c r="E535" s="136"/>
      <c r="F535" s="137"/>
      <c r="G535" s="138"/>
      <c r="H535" s="138"/>
      <c r="I535" s="463"/>
      <c r="J535" s="134"/>
      <c r="K535" s="139"/>
      <c r="L535" s="140"/>
      <c r="N535" s="134"/>
      <c r="O535" s="134"/>
      <c r="P535" s="134"/>
      <c r="Q535" s="134"/>
      <c r="R535" s="140"/>
      <c r="S535" s="135"/>
      <c r="T535" s="135"/>
      <c r="U535" s="135"/>
      <c r="V535" s="135"/>
      <c r="W535" s="135"/>
      <c r="X535" s="135"/>
      <c r="Y535" s="135"/>
      <c r="Z535" s="135"/>
      <c r="AA535" s="135"/>
      <c r="AB535" s="135"/>
      <c r="AC535" s="135"/>
      <c r="AD535" s="135"/>
      <c r="AE535" s="135"/>
      <c r="AF535" s="135"/>
      <c r="AG535" s="135"/>
      <c r="AH535" s="135"/>
      <c r="AI535" s="135"/>
      <c r="AJ535" s="135"/>
      <c r="AK535" s="135"/>
      <c r="AL535" s="135"/>
      <c r="AM535" s="135"/>
      <c r="AN535" s="135"/>
      <c r="AO535" s="135"/>
      <c r="AP535" s="135"/>
      <c r="AQ535" s="135"/>
      <c r="AR535" s="135"/>
      <c r="AS535" s="135"/>
      <c r="AT535" s="135"/>
      <c r="AU535" s="135"/>
      <c r="AV535" s="135"/>
      <c r="AW535" s="135"/>
      <c r="AX535" s="135"/>
      <c r="AY535" s="135"/>
      <c r="AZ535" s="135"/>
      <c r="BA535" s="135"/>
      <c r="BB535" s="135"/>
      <c r="BC535" s="135"/>
      <c r="BD535" s="135"/>
      <c r="BE535" s="135"/>
      <c r="BF535" s="135"/>
      <c r="BG535" s="135"/>
      <c r="BH535" s="135"/>
      <c r="BI535" s="135"/>
      <c r="BJ535" s="135"/>
      <c r="BK535" s="135"/>
      <c r="BL535" s="135"/>
      <c r="BM535" s="135"/>
      <c r="BN535" s="135"/>
      <c r="BO535" s="135"/>
      <c r="BP535" s="135"/>
      <c r="BQ535" s="135"/>
      <c r="BR535" s="135"/>
      <c r="BS535" s="135"/>
      <c r="BT535" s="135"/>
      <c r="BU535" s="135"/>
      <c r="BV535" s="135"/>
      <c r="BW535" s="135"/>
      <c r="BX535" s="135"/>
      <c r="BY535" s="135"/>
      <c r="BZ535" s="135"/>
      <c r="CA535" s="135"/>
      <c r="CB535" s="135"/>
      <c r="CC535" s="135"/>
      <c r="CD535" s="135"/>
      <c r="CE535" s="135"/>
      <c r="CF535" s="135"/>
      <c r="CG535" s="135"/>
      <c r="CH535" s="135"/>
      <c r="CI535" s="135"/>
      <c r="CJ535" s="135"/>
      <c r="CK535" s="135"/>
      <c r="CL535" s="135"/>
      <c r="CM535" s="135"/>
      <c r="CN535" s="135"/>
      <c r="CO535" s="135"/>
      <c r="CP535" s="135"/>
      <c r="CQ535" s="135"/>
      <c r="CR535" s="135"/>
      <c r="CS535" s="135"/>
      <c r="CT535" s="135"/>
      <c r="CU535" s="135"/>
      <c r="CV535" s="135"/>
      <c r="CW535" s="135"/>
      <c r="CX535" s="135"/>
      <c r="CY535" s="135"/>
      <c r="CZ535" s="135"/>
      <c r="DA535" s="135"/>
      <c r="DB535" s="135"/>
      <c r="DC535" s="135"/>
      <c r="DD535" s="135"/>
      <c r="DE535" s="135"/>
      <c r="DF535" s="135"/>
      <c r="DG535" s="135"/>
      <c r="DH535" s="135"/>
      <c r="DI535" s="135"/>
      <c r="DJ535" s="135"/>
      <c r="DK535" s="135"/>
      <c r="DL535" s="135"/>
      <c r="DM535" s="135"/>
      <c r="DN535" s="135"/>
      <c r="DO535" s="135"/>
      <c r="DP535" s="135"/>
      <c r="DQ535" s="135"/>
      <c r="DR535" s="135"/>
      <c r="DS535" s="135"/>
      <c r="DT535" s="135"/>
      <c r="DU535" s="135"/>
      <c r="DV535" s="135"/>
      <c r="DW535" s="135"/>
      <c r="DX535" s="135"/>
      <c r="DY535" s="135"/>
      <c r="DZ535" s="135"/>
      <c r="EA535" s="135"/>
      <c r="EB535" s="135"/>
      <c r="EC535" s="135"/>
      <c r="ED535" s="135"/>
      <c r="EE535" s="135"/>
      <c r="EF535" s="135"/>
      <c r="EG535" s="135"/>
      <c r="EH535" s="135"/>
      <c r="EI535" s="135"/>
      <c r="EJ535" s="135"/>
      <c r="EK535" s="135"/>
      <c r="EL535" s="135"/>
      <c r="EM535" s="135"/>
      <c r="EN535" s="135"/>
      <c r="EO535" s="135"/>
      <c r="EP535" s="135"/>
      <c r="EQ535" s="135"/>
      <c r="ER535" s="135"/>
      <c r="ES535" s="135"/>
      <c r="ET535" s="135"/>
      <c r="EU535" s="135"/>
      <c r="EV535" s="135"/>
      <c r="EW535" s="135"/>
    </row>
    <row r="536" spans="2:153" s="141" customFormat="1" x14ac:dyDescent="0.2">
      <c r="B536" s="134"/>
      <c r="C536" s="135"/>
      <c r="D536" s="136"/>
      <c r="E536" s="136"/>
      <c r="F536" s="137"/>
      <c r="G536" s="138"/>
      <c r="H536" s="138"/>
      <c r="I536" s="463"/>
      <c r="J536" s="134"/>
      <c r="K536" s="139"/>
      <c r="L536" s="140"/>
      <c r="N536" s="134"/>
      <c r="O536" s="134"/>
      <c r="P536" s="134"/>
      <c r="Q536" s="134"/>
      <c r="R536" s="140"/>
      <c r="S536" s="135"/>
      <c r="T536" s="135"/>
      <c r="U536" s="135"/>
      <c r="V536" s="135"/>
      <c r="W536" s="135"/>
      <c r="X536" s="135"/>
      <c r="Y536" s="135"/>
      <c r="Z536" s="135"/>
      <c r="AA536" s="135"/>
      <c r="AB536" s="135"/>
      <c r="AC536" s="135"/>
      <c r="AD536" s="135"/>
      <c r="AE536" s="135"/>
      <c r="AF536" s="135"/>
      <c r="AG536" s="135"/>
      <c r="AH536" s="135"/>
      <c r="AI536" s="135"/>
      <c r="AJ536" s="135"/>
      <c r="AK536" s="135"/>
      <c r="AL536" s="135"/>
      <c r="AM536" s="135"/>
      <c r="AN536" s="135"/>
      <c r="AO536" s="135"/>
      <c r="AP536" s="135"/>
      <c r="AQ536" s="135"/>
      <c r="AR536" s="135"/>
      <c r="AS536" s="135"/>
      <c r="AT536" s="135"/>
      <c r="AU536" s="135"/>
      <c r="AV536" s="135"/>
      <c r="AW536" s="135"/>
      <c r="AX536" s="135"/>
      <c r="AY536" s="135"/>
      <c r="AZ536" s="135"/>
      <c r="BA536" s="135"/>
      <c r="BB536" s="135"/>
      <c r="BC536" s="135"/>
      <c r="BD536" s="135"/>
      <c r="BE536" s="135"/>
      <c r="BF536" s="135"/>
      <c r="BG536" s="135"/>
      <c r="BH536" s="135"/>
      <c r="BI536" s="135"/>
      <c r="BJ536" s="135"/>
      <c r="BK536" s="135"/>
      <c r="BL536" s="135"/>
      <c r="BM536" s="135"/>
      <c r="BN536" s="135"/>
      <c r="BO536" s="135"/>
      <c r="BP536" s="135"/>
      <c r="BQ536" s="135"/>
      <c r="BR536" s="135"/>
      <c r="BS536" s="135"/>
      <c r="BT536" s="135"/>
      <c r="BU536" s="135"/>
      <c r="BV536" s="135"/>
      <c r="BW536" s="135"/>
      <c r="BX536" s="135"/>
      <c r="BY536" s="135"/>
      <c r="BZ536" s="135"/>
      <c r="CA536" s="135"/>
      <c r="CB536" s="135"/>
      <c r="CC536" s="135"/>
      <c r="CD536" s="135"/>
      <c r="CE536" s="135"/>
      <c r="CF536" s="135"/>
      <c r="CG536" s="135"/>
      <c r="CH536" s="135"/>
      <c r="CI536" s="135"/>
      <c r="CJ536" s="135"/>
      <c r="CK536" s="135"/>
      <c r="CL536" s="135"/>
      <c r="CM536" s="135"/>
      <c r="CN536" s="135"/>
      <c r="CO536" s="135"/>
      <c r="CP536" s="135"/>
      <c r="CQ536" s="135"/>
      <c r="CR536" s="135"/>
      <c r="CS536" s="135"/>
      <c r="CT536" s="135"/>
      <c r="CU536" s="135"/>
      <c r="CV536" s="135"/>
      <c r="CW536" s="135"/>
      <c r="CX536" s="135"/>
      <c r="CY536" s="135"/>
      <c r="CZ536" s="135"/>
      <c r="DA536" s="135"/>
      <c r="DB536" s="135"/>
      <c r="DC536" s="135"/>
      <c r="DD536" s="135"/>
      <c r="DE536" s="135"/>
      <c r="DF536" s="135"/>
      <c r="DG536" s="135"/>
      <c r="DH536" s="135"/>
      <c r="DI536" s="135"/>
      <c r="DJ536" s="135"/>
      <c r="DK536" s="135"/>
      <c r="DL536" s="135"/>
      <c r="DM536" s="135"/>
      <c r="DN536" s="135"/>
      <c r="DO536" s="135"/>
      <c r="DP536" s="135"/>
      <c r="DQ536" s="135"/>
      <c r="DR536" s="135"/>
      <c r="DS536" s="135"/>
      <c r="DT536" s="135"/>
      <c r="DU536" s="135"/>
      <c r="DV536" s="135"/>
      <c r="DW536" s="135"/>
      <c r="DX536" s="135"/>
      <c r="DY536" s="135"/>
      <c r="DZ536" s="135"/>
      <c r="EA536" s="135"/>
      <c r="EB536" s="135"/>
      <c r="EC536" s="135"/>
      <c r="ED536" s="135"/>
      <c r="EE536" s="135"/>
      <c r="EF536" s="135"/>
      <c r="EG536" s="135"/>
      <c r="EH536" s="135"/>
      <c r="EI536" s="135"/>
      <c r="EJ536" s="135"/>
      <c r="EK536" s="135"/>
      <c r="EL536" s="135"/>
      <c r="EM536" s="135"/>
      <c r="EN536" s="135"/>
      <c r="EO536" s="135"/>
      <c r="EP536" s="135"/>
      <c r="EQ536" s="135"/>
      <c r="ER536" s="135"/>
      <c r="ES536" s="135"/>
      <c r="ET536" s="135"/>
      <c r="EU536" s="135"/>
      <c r="EV536" s="135"/>
      <c r="EW536" s="135"/>
    </row>
    <row r="537" spans="2:153" s="141" customFormat="1" x14ac:dyDescent="0.2">
      <c r="B537" s="134"/>
      <c r="C537" s="135"/>
      <c r="D537" s="136"/>
      <c r="E537" s="136"/>
      <c r="F537" s="137"/>
      <c r="G537" s="138"/>
      <c r="H537" s="138"/>
      <c r="I537" s="463"/>
      <c r="J537" s="134"/>
      <c r="K537" s="139"/>
      <c r="L537" s="140"/>
      <c r="N537" s="134"/>
      <c r="O537" s="134"/>
      <c r="P537" s="134"/>
      <c r="Q537" s="134"/>
      <c r="R537" s="140"/>
      <c r="S537" s="135"/>
      <c r="T537" s="135"/>
      <c r="U537" s="135"/>
      <c r="V537" s="135"/>
      <c r="W537" s="135"/>
      <c r="X537" s="135"/>
      <c r="Y537" s="135"/>
      <c r="Z537" s="135"/>
      <c r="AA537" s="135"/>
      <c r="AB537" s="135"/>
      <c r="AC537" s="135"/>
      <c r="AD537" s="135"/>
      <c r="AE537" s="135"/>
      <c r="AF537" s="135"/>
      <c r="AG537" s="135"/>
      <c r="AH537" s="135"/>
      <c r="AI537" s="135"/>
      <c r="AJ537" s="135"/>
      <c r="AK537" s="135"/>
      <c r="AL537" s="135"/>
      <c r="AM537" s="135"/>
      <c r="AN537" s="135"/>
      <c r="AO537" s="135"/>
      <c r="AP537" s="135"/>
      <c r="AQ537" s="135"/>
      <c r="AR537" s="135"/>
      <c r="AS537" s="135"/>
      <c r="AT537" s="135"/>
      <c r="AU537" s="135"/>
      <c r="AV537" s="135"/>
      <c r="AW537" s="135"/>
      <c r="AX537" s="135"/>
      <c r="AY537" s="135"/>
      <c r="AZ537" s="135"/>
      <c r="BA537" s="135"/>
      <c r="BB537" s="135"/>
      <c r="BC537" s="135"/>
      <c r="BD537" s="135"/>
      <c r="BE537" s="135"/>
      <c r="BF537" s="135"/>
      <c r="BG537" s="135"/>
      <c r="BH537" s="135"/>
      <c r="BI537" s="135"/>
      <c r="BJ537" s="135"/>
      <c r="BK537" s="135"/>
      <c r="BL537" s="135"/>
      <c r="BM537" s="135"/>
      <c r="BN537" s="135"/>
      <c r="BO537" s="135"/>
      <c r="BP537" s="135"/>
      <c r="BQ537" s="135"/>
      <c r="BR537" s="135"/>
      <c r="BS537" s="135"/>
      <c r="BT537" s="135"/>
      <c r="BU537" s="135"/>
      <c r="BV537" s="135"/>
      <c r="BW537" s="135"/>
      <c r="BX537" s="135"/>
      <c r="BY537" s="135"/>
      <c r="BZ537" s="135"/>
      <c r="CA537" s="135"/>
      <c r="CB537" s="135"/>
      <c r="CC537" s="135"/>
      <c r="CD537" s="135"/>
      <c r="CE537" s="135"/>
      <c r="CF537" s="135"/>
      <c r="CG537" s="135"/>
      <c r="CH537" s="135"/>
      <c r="CI537" s="135"/>
      <c r="CJ537" s="135"/>
      <c r="CK537" s="135"/>
      <c r="CL537" s="135"/>
      <c r="CM537" s="135"/>
      <c r="CN537" s="135"/>
      <c r="CO537" s="135"/>
      <c r="CP537" s="135"/>
      <c r="CQ537" s="135"/>
      <c r="CR537" s="135"/>
      <c r="CS537" s="135"/>
      <c r="CT537" s="135"/>
      <c r="CU537" s="135"/>
      <c r="CV537" s="135"/>
      <c r="CW537" s="135"/>
      <c r="CX537" s="135"/>
      <c r="CY537" s="135"/>
      <c r="CZ537" s="135"/>
      <c r="DA537" s="135"/>
      <c r="DB537" s="135"/>
      <c r="DC537" s="135"/>
      <c r="DD537" s="135"/>
      <c r="DE537" s="135"/>
      <c r="DF537" s="135"/>
      <c r="DG537" s="135"/>
      <c r="DH537" s="135"/>
      <c r="DI537" s="135"/>
      <c r="DJ537" s="135"/>
      <c r="DK537" s="135"/>
      <c r="DL537" s="135"/>
      <c r="DM537" s="135"/>
      <c r="DN537" s="135"/>
      <c r="DO537" s="135"/>
      <c r="DP537" s="135"/>
      <c r="DQ537" s="135"/>
      <c r="DR537" s="135"/>
      <c r="DS537" s="135"/>
      <c r="DT537" s="135"/>
      <c r="DU537" s="135"/>
      <c r="DV537" s="135"/>
      <c r="DW537" s="135"/>
      <c r="DX537" s="135"/>
      <c r="DY537" s="135"/>
      <c r="DZ537" s="135"/>
      <c r="EA537" s="135"/>
      <c r="EB537" s="135"/>
      <c r="EC537" s="135"/>
      <c r="ED537" s="135"/>
      <c r="EE537" s="135"/>
      <c r="EF537" s="135"/>
      <c r="EG537" s="135"/>
      <c r="EH537" s="135"/>
      <c r="EI537" s="135"/>
      <c r="EJ537" s="135"/>
      <c r="EK537" s="135"/>
      <c r="EL537" s="135"/>
      <c r="EM537" s="135"/>
      <c r="EN537" s="135"/>
      <c r="EO537" s="135"/>
      <c r="EP537" s="135"/>
      <c r="EQ537" s="135"/>
      <c r="ER537" s="135"/>
      <c r="ES537" s="135"/>
      <c r="ET537" s="135"/>
      <c r="EU537" s="135"/>
      <c r="EV537" s="135"/>
      <c r="EW537" s="135"/>
    </row>
    <row r="538" spans="2:153" s="141" customFormat="1" x14ac:dyDescent="0.2">
      <c r="B538" s="134"/>
      <c r="C538" s="135"/>
      <c r="D538" s="136"/>
      <c r="E538" s="136"/>
      <c r="F538" s="137"/>
      <c r="G538" s="138"/>
      <c r="H538" s="138"/>
      <c r="I538" s="463"/>
      <c r="J538" s="134"/>
      <c r="K538" s="139"/>
      <c r="L538" s="140"/>
      <c r="N538" s="134"/>
      <c r="O538" s="134"/>
      <c r="P538" s="134"/>
      <c r="Q538" s="134"/>
      <c r="R538" s="140"/>
      <c r="S538" s="135"/>
      <c r="T538" s="135"/>
      <c r="U538" s="135"/>
      <c r="V538" s="135"/>
      <c r="W538" s="135"/>
      <c r="X538" s="135"/>
      <c r="Y538" s="135"/>
      <c r="Z538" s="135"/>
      <c r="AA538" s="135"/>
      <c r="AB538" s="135"/>
      <c r="AC538" s="135"/>
      <c r="AD538" s="135"/>
      <c r="AE538" s="135"/>
      <c r="AF538" s="135"/>
      <c r="AG538" s="135"/>
      <c r="AH538" s="135"/>
      <c r="AI538" s="135"/>
      <c r="AJ538" s="135"/>
      <c r="AK538" s="135"/>
      <c r="AL538" s="135"/>
      <c r="AM538" s="135"/>
      <c r="AN538" s="135"/>
      <c r="AO538" s="135"/>
      <c r="AP538" s="135"/>
      <c r="AQ538" s="135"/>
      <c r="AR538" s="135"/>
      <c r="AS538" s="135"/>
      <c r="AT538" s="135"/>
      <c r="AU538" s="135"/>
      <c r="AV538" s="135"/>
      <c r="AW538" s="135"/>
      <c r="AX538" s="135"/>
      <c r="AY538" s="135"/>
      <c r="AZ538" s="135"/>
      <c r="BA538" s="135"/>
      <c r="BB538" s="135"/>
      <c r="BC538" s="135"/>
      <c r="BD538" s="135"/>
      <c r="BE538" s="135"/>
      <c r="BF538" s="135"/>
      <c r="BG538" s="135"/>
      <c r="BH538" s="135"/>
      <c r="BI538" s="135"/>
      <c r="BJ538" s="135"/>
      <c r="BK538" s="135"/>
      <c r="BL538" s="135"/>
      <c r="BM538" s="135"/>
      <c r="BN538" s="135"/>
      <c r="BO538" s="135"/>
      <c r="BP538" s="135"/>
      <c r="BQ538" s="135"/>
      <c r="BR538" s="135"/>
      <c r="BS538" s="135"/>
      <c r="BT538" s="135"/>
      <c r="BU538" s="135"/>
      <c r="BV538" s="135"/>
      <c r="BW538" s="135"/>
      <c r="BX538" s="135"/>
      <c r="BY538" s="135"/>
      <c r="BZ538" s="135"/>
      <c r="CA538" s="135"/>
      <c r="CB538" s="135"/>
      <c r="CC538" s="135"/>
      <c r="CD538" s="135"/>
      <c r="CE538" s="135"/>
      <c r="CF538" s="135"/>
      <c r="CG538" s="135"/>
      <c r="CH538" s="135"/>
      <c r="CI538" s="135"/>
      <c r="CJ538" s="135"/>
      <c r="CK538" s="135"/>
      <c r="CL538" s="135"/>
      <c r="CM538" s="135"/>
      <c r="CN538" s="135"/>
      <c r="CO538" s="135"/>
      <c r="CP538" s="135"/>
      <c r="CQ538" s="135"/>
      <c r="CR538" s="135"/>
      <c r="CS538" s="135"/>
      <c r="CT538" s="135"/>
      <c r="CU538" s="135"/>
      <c r="CV538" s="135"/>
      <c r="CW538" s="135"/>
      <c r="CX538" s="135"/>
      <c r="CY538" s="135"/>
      <c r="CZ538" s="135"/>
      <c r="DA538" s="135"/>
      <c r="DB538" s="135"/>
      <c r="DC538" s="135"/>
      <c r="DD538" s="135"/>
      <c r="DE538" s="135"/>
      <c r="DF538" s="135"/>
      <c r="DG538" s="135"/>
      <c r="DH538" s="135"/>
      <c r="DI538" s="135"/>
      <c r="DJ538" s="135"/>
      <c r="DK538" s="135"/>
      <c r="DL538" s="135"/>
      <c r="DM538" s="135"/>
      <c r="DN538" s="135"/>
      <c r="DO538" s="135"/>
      <c r="DP538" s="135"/>
      <c r="DQ538" s="135"/>
      <c r="DR538" s="135"/>
      <c r="DS538" s="135"/>
      <c r="DT538" s="135"/>
      <c r="DU538" s="135"/>
      <c r="DV538" s="135"/>
      <c r="DW538" s="135"/>
      <c r="DX538" s="135"/>
      <c r="DY538" s="135"/>
      <c r="DZ538" s="135"/>
      <c r="EA538" s="135"/>
      <c r="EB538" s="135"/>
      <c r="EC538" s="135"/>
      <c r="ED538" s="135"/>
      <c r="EE538" s="135"/>
      <c r="EF538" s="135"/>
      <c r="EG538" s="135"/>
      <c r="EH538" s="135"/>
      <c r="EI538" s="135"/>
      <c r="EJ538" s="135"/>
      <c r="EK538" s="135"/>
      <c r="EL538" s="135"/>
      <c r="EM538" s="135"/>
      <c r="EN538" s="135"/>
      <c r="EO538" s="135"/>
      <c r="EP538" s="135"/>
      <c r="EQ538" s="135"/>
      <c r="ER538" s="135"/>
      <c r="ES538" s="135"/>
      <c r="ET538" s="135"/>
      <c r="EU538" s="135"/>
      <c r="EV538" s="135"/>
      <c r="EW538" s="135"/>
    </row>
    <row r="539" spans="2:153" s="141" customFormat="1" x14ac:dyDescent="0.2">
      <c r="B539" s="134"/>
      <c r="C539" s="135"/>
      <c r="D539" s="136"/>
      <c r="E539" s="136"/>
      <c r="F539" s="137"/>
      <c r="G539" s="138"/>
      <c r="H539" s="138"/>
      <c r="I539" s="463"/>
      <c r="J539" s="134"/>
      <c r="K539" s="139"/>
      <c r="L539" s="140"/>
      <c r="N539" s="134"/>
      <c r="O539" s="134"/>
      <c r="P539" s="134"/>
      <c r="Q539" s="134"/>
      <c r="R539" s="140"/>
      <c r="S539" s="135"/>
      <c r="T539" s="135"/>
      <c r="U539" s="135"/>
      <c r="V539" s="135"/>
      <c r="W539" s="135"/>
      <c r="X539" s="135"/>
      <c r="Y539" s="135"/>
      <c r="Z539" s="135"/>
      <c r="AA539" s="135"/>
      <c r="AB539" s="135"/>
      <c r="AC539" s="135"/>
      <c r="AD539" s="135"/>
      <c r="AE539" s="135"/>
      <c r="AF539" s="135"/>
      <c r="AG539" s="135"/>
      <c r="AH539" s="135"/>
      <c r="AI539" s="135"/>
      <c r="AJ539" s="135"/>
      <c r="AK539" s="135"/>
      <c r="AL539" s="135"/>
      <c r="AM539" s="135"/>
      <c r="AN539" s="135"/>
      <c r="AO539" s="135"/>
      <c r="AP539" s="135"/>
      <c r="AQ539" s="135"/>
      <c r="AR539" s="135"/>
      <c r="AS539" s="135"/>
      <c r="AT539" s="135"/>
      <c r="AU539" s="135"/>
      <c r="AV539" s="135"/>
      <c r="AW539" s="135"/>
      <c r="AX539" s="135"/>
      <c r="AY539" s="135"/>
      <c r="AZ539" s="135"/>
      <c r="BA539" s="135"/>
      <c r="BB539" s="135"/>
      <c r="BC539" s="135"/>
      <c r="BD539" s="135"/>
      <c r="BE539" s="135"/>
      <c r="BF539" s="135"/>
      <c r="BG539" s="135"/>
      <c r="BH539" s="135"/>
      <c r="BI539" s="135"/>
      <c r="BJ539" s="135"/>
      <c r="BK539" s="135"/>
      <c r="BL539" s="135"/>
      <c r="BM539" s="135"/>
      <c r="BN539" s="135"/>
      <c r="BO539" s="135"/>
      <c r="BP539" s="135"/>
      <c r="BQ539" s="135"/>
      <c r="BR539" s="135"/>
      <c r="BS539" s="135"/>
      <c r="BT539" s="135"/>
      <c r="BU539" s="135"/>
      <c r="BV539" s="135"/>
      <c r="BW539" s="135"/>
      <c r="BX539" s="135"/>
      <c r="BY539" s="135"/>
      <c r="BZ539" s="135"/>
      <c r="CA539" s="135"/>
      <c r="CB539" s="135"/>
      <c r="CC539" s="135"/>
      <c r="CD539" s="135"/>
      <c r="CE539" s="135"/>
      <c r="CF539" s="135"/>
      <c r="CG539" s="135"/>
      <c r="CH539" s="135"/>
      <c r="CI539" s="135"/>
      <c r="CJ539" s="135"/>
      <c r="CK539" s="135"/>
      <c r="CL539" s="135"/>
      <c r="CM539" s="135"/>
      <c r="CN539" s="135"/>
      <c r="CO539" s="135"/>
      <c r="CP539" s="135"/>
      <c r="CQ539" s="135"/>
      <c r="CR539" s="135"/>
      <c r="CS539" s="135"/>
      <c r="CT539" s="135"/>
      <c r="CU539" s="135"/>
      <c r="CV539" s="135"/>
      <c r="CW539" s="135"/>
      <c r="CX539" s="135"/>
      <c r="CY539" s="135"/>
      <c r="CZ539" s="135"/>
      <c r="DA539" s="135"/>
      <c r="DB539" s="135"/>
      <c r="DC539" s="135"/>
      <c r="DD539" s="135"/>
      <c r="DE539" s="135"/>
      <c r="DF539" s="135"/>
      <c r="DG539" s="135"/>
      <c r="DH539" s="135"/>
      <c r="DI539" s="135"/>
      <c r="DJ539" s="135"/>
      <c r="DK539" s="135"/>
      <c r="DL539" s="135"/>
      <c r="DM539" s="135"/>
      <c r="DN539" s="135"/>
      <c r="DO539" s="135"/>
      <c r="DP539" s="135"/>
      <c r="DQ539" s="135"/>
      <c r="DR539" s="135"/>
      <c r="DS539" s="135"/>
      <c r="DT539" s="135"/>
      <c r="DU539" s="135"/>
      <c r="DV539" s="135"/>
      <c r="DW539" s="135"/>
      <c r="DX539" s="135"/>
      <c r="DY539" s="135"/>
      <c r="DZ539" s="135"/>
      <c r="EA539" s="135"/>
      <c r="EB539" s="135"/>
      <c r="EC539" s="135"/>
      <c r="ED539" s="135"/>
      <c r="EE539" s="135"/>
      <c r="EF539" s="135"/>
      <c r="EG539" s="135"/>
      <c r="EH539" s="135"/>
      <c r="EI539" s="135"/>
      <c r="EJ539" s="135"/>
      <c r="EK539" s="135"/>
      <c r="EL539" s="135"/>
      <c r="EM539" s="135"/>
      <c r="EN539" s="135"/>
      <c r="EO539" s="135"/>
      <c r="EP539" s="135"/>
      <c r="EQ539" s="135"/>
      <c r="ER539" s="135"/>
      <c r="ES539" s="135"/>
      <c r="ET539" s="135"/>
      <c r="EU539" s="135"/>
      <c r="EV539" s="135"/>
      <c r="EW539" s="135"/>
    </row>
    <row r="540" spans="2:153" s="141" customFormat="1" x14ac:dyDescent="0.2">
      <c r="B540" s="134"/>
      <c r="C540" s="135"/>
      <c r="D540" s="136"/>
      <c r="E540" s="136"/>
      <c r="F540" s="137"/>
      <c r="G540" s="138"/>
      <c r="H540" s="138"/>
      <c r="I540" s="463"/>
      <c r="J540" s="134"/>
      <c r="K540" s="139"/>
      <c r="L540" s="140"/>
      <c r="N540" s="134"/>
      <c r="O540" s="134"/>
      <c r="P540" s="134"/>
      <c r="Q540" s="134"/>
      <c r="R540" s="140"/>
      <c r="S540" s="135"/>
      <c r="T540" s="135"/>
      <c r="U540" s="135"/>
      <c r="V540" s="135"/>
      <c r="W540" s="135"/>
      <c r="X540" s="135"/>
      <c r="Y540" s="135"/>
      <c r="Z540" s="135"/>
      <c r="AA540" s="135"/>
      <c r="AB540" s="135"/>
      <c r="AC540" s="135"/>
      <c r="AD540" s="135"/>
      <c r="AE540" s="135"/>
      <c r="AF540" s="135"/>
      <c r="AG540" s="135"/>
      <c r="AH540" s="135"/>
      <c r="AI540" s="135"/>
      <c r="AJ540" s="135"/>
      <c r="AK540" s="135"/>
      <c r="AL540" s="135"/>
      <c r="AM540" s="135"/>
      <c r="AN540" s="135"/>
      <c r="AO540" s="135"/>
      <c r="AP540" s="135"/>
      <c r="AQ540" s="135"/>
      <c r="AR540" s="135"/>
      <c r="AS540" s="135"/>
      <c r="AT540" s="135"/>
      <c r="AU540" s="135"/>
      <c r="AV540" s="135"/>
      <c r="AW540" s="135"/>
      <c r="AX540" s="135"/>
      <c r="AY540" s="135"/>
      <c r="AZ540" s="135"/>
      <c r="BA540" s="135"/>
      <c r="BB540" s="135"/>
      <c r="BC540" s="135"/>
      <c r="BD540" s="135"/>
      <c r="BE540" s="135"/>
      <c r="BF540" s="135"/>
      <c r="BG540" s="135"/>
      <c r="BH540" s="135"/>
      <c r="BI540" s="135"/>
      <c r="BJ540" s="135"/>
      <c r="BK540" s="135"/>
      <c r="BL540" s="135"/>
      <c r="BM540" s="135"/>
      <c r="BN540" s="135"/>
      <c r="BO540" s="135"/>
      <c r="BP540" s="135"/>
      <c r="BQ540" s="135"/>
      <c r="BR540" s="135"/>
      <c r="BS540" s="135"/>
      <c r="BT540" s="135"/>
      <c r="BU540" s="135"/>
      <c r="BV540" s="135"/>
      <c r="BW540" s="135"/>
      <c r="BX540" s="135"/>
      <c r="BY540" s="135"/>
      <c r="BZ540" s="135"/>
      <c r="CA540" s="135"/>
      <c r="CB540" s="135"/>
      <c r="CC540" s="135"/>
      <c r="CD540" s="135"/>
      <c r="CE540" s="135"/>
      <c r="CF540" s="135"/>
      <c r="CG540" s="135"/>
      <c r="CH540" s="135"/>
      <c r="CI540" s="135"/>
      <c r="CJ540" s="135"/>
      <c r="CK540" s="135"/>
      <c r="CL540" s="135"/>
      <c r="CM540" s="135"/>
      <c r="CN540" s="135"/>
      <c r="CO540" s="135"/>
      <c r="CP540" s="135"/>
      <c r="CQ540" s="135"/>
      <c r="CR540" s="135"/>
      <c r="CS540" s="135"/>
      <c r="CT540" s="135"/>
      <c r="CU540" s="135"/>
      <c r="CV540" s="135"/>
      <c r="CW540" s="135"/>
      <c r="CX540" s="135"/>
      <c r="CY540" s="135"/>
      <c r="CZ540" s="135"/>
      <c r="DA540" s="135"/>
      <c r="DB540" s="135"/>
      <c r="DC540" s="135"/>
      <c r="DD540" s="135"/>
      <c r="DE540" s="135"/>
      <c r="DF540" s="135"/>
      <c r="DG540" s="135"/>
      <c r="DH540" s="135"/>
      <c r="DI540" s="135"/>
      <c r="DJ540" s="135"/>
      <c r="DK540" s="135"/>
      <c r="DL540" s="135"/>
      <c r="DM540" s="135"/>
      <c r="DN540" s="135"/>
      <c r="DO540" s="135"/>
      <c r="DP540" s="135"/>
      <c r="DQ540" s="135"/>
      <c r="DR540" s="135"/>
      <c r="DS540" s="135"/>
      <c r="DT540" s="135"/>
      <c r="DU540" s="135"/>
      <c r="DV540" s="135"/>
      <c r="DW540" s="135"/>
      <c r="DX540" s="135"/>
      <c r="DY540" s="135"/>
      <c r="DZ540" s="135"/>
      <c r="EA540" s="135"/>
      <c r="EB540" s="135"/>
      <c r="EC540" s="135"/>
      <c r="ED540" s="135"/>
      <c r="EE540" s="135"/>
      <c r="EF540" s="135"/>
      <c r="EG540" s="135"/>
      <c r="EH540" s="135"/>
      <c r="EI540" s="135"/>
      <c r="EJ540" s="135"/>
      <c r="EK540" s="135"/>
      <c r="EL540" s="135"/>
      <c r="EM540" s="135"/>
      <c r="EN540" s="135"/>
      <c r="EO540" s="135"/>
      <c r="EP540" s="135"/>
      <c r="EQ540" s="135"/>
      <c r="ER540" s="135"/>
      <c r="ES540" s="135"/>
      <c r="ET540" s="135"/>
      <c r="EU540" s="135"/>
      <c r="EV540" s="135"/>
      <c r="EW540" s="135"/>
    </row>
    <row r="541" spans="2:153" s="141" customFormat="1" x14ac:dyDescent="0.2">
      <c r="B541" s="134"/>
      <c r="C541" s="135"/>
      <c r="D541" s="136"/>
      <c r="E541" s="136"/>
      <c r="F541" s="137"/>
      <c r="G541" s="138"/>
      <c r="H541" s="138"/>
      <c r="I541" s="463"/>
      <c r="J541" s="134"/>
      <c r="K541" s="139"/>
      <c r="L541" s="140"/>
      <c r="N541" s="134"/>
      <c r="O541" s="134"/>
      <c r="P541" s="134"/>
      <c r="Q541" s="134"/>
      <c r="R541" s="140"/>
      <c r="S541" s="135"/>
      <c r="T541" s="135"/>
      <c r="U541" s="135"/>
      <c r="V541" s="135"/>
      <c r="W541" s="135"/>
      <c r="X541" s="135"/>
      <c r="Y541" s="135"/>
      <c r="Z541" s="135"/>
      <c r="AA541" s="135"/>
      <c r="AB541" s="135"/>
      <c r="AC541" s="135"/>
      <c r="AD541" s="135"/>
      <c r="AE541" s="135"/>
      <c r="AF541" s="135"/>
      <c r="AG541" s="135"/>
      <c r="AH541" s="135"/>
      <c r="AI541" s="135"/>
      <c r="AJ541" s="135"/>
      <c r="AK541" s="135"/>
      <c r="AL541" s="135"/>
      <c r="AM541" s="135"/>
      <c r="AN541" s="135"/>
      <c r="AO541" s="135"/>
      <c r="AP541" s="135"/>
      <c r="AQ541" s="135"/>
      <c r="AR541" s="135"/>
      <c r="AS541" s="135"/>
      <c r="AT541" s="135"/>
      <c r="AU541" s="135"/>
      <c r="AV541" s="135"/>
      <c r="AW541" s="135"/>
      <c r="AX541" s="135"/>
      <c r="AY541" s="135"/>
      <c r="AZ541" s="135"/>
      <c r="BA541" s="135"/>
      <c r="BB541" s="135"/>
      <c r="BC541" s="135"/>
      <c r="BD541" s="135"/>
      <c r="BE541" s="135"/>
      <c r="BF541" s="135"/>
      <c r="BG541" s="135"/>
      <c r="BH541" s="135"/>
      <c r="BI541" s="135"/>
      <c r="BJ541" s="135"/>
      <c r="BK541" s="135"/>
      <c r="BL541" s="135"/>
      <c r="BM541" s="135"/>
      <c r="BN541" s="135"/>
      <c r="BO541" s="135"/>
      <c r="BP541" s="135"/>
      <c r="BQ541" s="135"/>
      <c r="BR541" s="135"/>
      <c r="BS541" s="135"/>
      <c r="BT541" s="135"/>
      <c r="BU541" s="135"/>
      <c r="BV541" s="135"/>
      <c r="BW541" s="135"/>
      <c r="BX541" s="135"/>
      <c r="BY541" s="135"/>
      <c r="BZ541" s="135"/>
      <c r="CA541" s="135"/>
      <c r="CB541" s="135"/>
      <c r="CC541" s="135"/>
      <c r="CD541" s="135"/>
      <c r="CE541" s="135"/>
      <c r="CF541" s="135"/>
      <c r="CG541" s="135"/>
      <c r="CH541" s="135"/>
      <c r="CI541" s="135"/>
      <c r="CJ541" s="135"/>
      <c r="CK541" s="135"/>
      <c r="CL541" s="135"/>
      <c r="CM541" s="135"/>
      <c r="CN541" s="135"/>
      <c r="CO541" s="135"/>
      <c r="CP541" s="135"/>
      <c r="CQ541" s="135"/>
      <c r="CR541" s="135"/>
      <c r="CS541" s="135"/>
      <c r="CT541" s="135"/>
      <c r="CU541" s="135"/>
      <c r="CV541" s="135"/>
      <c r="CW541" s="135"/>
      <c r="CX541" s="135"/>
      <c r="CY541" s="135"/>
      <c r="CZ541" s="135"/>
      <c r="DA541" s="135"/>
      <c r="DB541" s="135"/>
      <c r="DC541" s="135"/>
      <c r="DD541" s="135"/>
      <c r="DE541" s="135"/>
      <c r="DF541" s="135"/>
      <c r="DG541" s="135"/>
      <c r="DH541" s="135"/>
      <c r="DI541" s="135"/>
      <c r="DJ541" s="135"/>
      <c r="DK541" s="135"/>
      <c r="DL541" s="135"/>
      <c r="DM541" s="135"/>
      <c r="DN541" s="135"/>
      <c r="DO541" s="135"/>
      <c r="DP541" s="135"/>
      <c r="DQ541" s="135"/>
      <c r="DR541" s="135"/>
      <c r="DS541" s="135"/>
      <c r="DT541" s="135"/>
      <c r="DU541" s="135"/>
      <c r="DV541" s="135"/>
      <c r="DW541" s="135"/>
      <c r="DX541" s="135"/>
      <c r="DY541" s="135"/>
      <c r="DZ541" s="135"/>
      <c r="EA541" s="135"/>
      <c r="EB541" s="135"/>
      <c r="EC541" s="135"/>
      <c r="ED541" s="135"/>
      <c r="EE541" s="135"/>
      <c r="EF541" s="135"/>
      <c r="EG541" s="135"/>
      <c r="EH541" s="135"/>
      <c r="EI541" s="135"/>
      <c r="EJ541" s="135"/>
      <c r="EK541" s="135"/>
      <c r="EL541" s="135"/>
      <c r="EM541" s="135"/>
      <c r="EN541" s="135"/>
      <c r="EO541" s="135"/>
      <c r="EP541" s="135"/>
      <c r="EQ541" s="135"/>
      <c r="ER541" s="135"/>
      <c r="ES541" s="135"/>
      <c r="ET541" s="135"/>
      <c r="EU541" s="135"/>
      <c r="EV541" s="135"/>
      <c r="EW541" s="135"/>
    </row>
    <row r="542" spans="2:153" s="141" customFormat="1" x14ac:dyDescent="0.2">
      <c r="B542" s="134"/>
      <c r="C542" s="135"/>
      <c r="D542" s="136"/>
      <c r="E542" s="136"/>
      <c r="F542" s="137"/>
      <c r="G542" s="138"/>
      <c r="H542" s="138"/>
      <c r="I542" s="463"/>
      <c r="J542" s="134"/>
      <c r="K542" s="139"/>
      <c r="L542" s="140"/>
      <c r="N542" s="134"/>
      <c r="O542" s="134"/>
      <c r="P542" s="134"/>
      <c r="Q542" s="134"/>
      <c r="R542" s="140"/>
      <c r="S542" s="135"/>
      <c r="T542" s="135"/>
      <c r="U542" s="135"/>
      <c r="V542" s="135"/>
      <c r="W542" s="135"/>
      <c r="X542" s="135"/>
      <c r="Y542" s="135"/>
      <c r="Z542" s="135"/>
      <c r="AA542" s="135"/>
      <c r="AB542" s="135"/>
      <c r="AC542" s="135"/>
      <c r="AD542" s="135"/>
      <c r="AE542" s="135"/>
      <c r="AF542" s="135"/>
      <c r="AG542" s="135"/>
      <c r="AH542" s="135"/>
      <c r="AI542" s="135"/>
      <c r="AJ542" s="135"/>
      <c r="AK542" s="135"/>
      <c r="AL542" s="135"/>
      <c r="AM542" s="135"/>
      <c r="AN542" s="135"/>
      <c r="AO542" s="135"/>
      <c r="AP542" s="135"/>
      <c r="AQ542" s="135"/>
      <c r="AR542" s="135"/>
      <c r="AS542" s="135"/>
      <c r="AT542" s="135"/>
      <c r="AU542" s="135"/>
      <c r="AV542" s="135"/>
      <c r="AW542" s="135"/>
      <c r="AX542" s="135"/>
      <c r="AY542" s="135"/>
      <c r="AZ542" s="135"/>
      <c r="BA542" s="135"/>
      <c r="BB542" s="135"/>
      <c r="BC542" s="135"/>
      <c r="BD542" s="135"/>
      <c r="BE542" s="135"/>
      <c r="BF542" s="135"/>
      <c r="BG542" s="135"/>
      <c r="BH542" s="135"/>
      <c r="BI542" s="135"/>
      <c r="BJ542" s="135"/>
      <c r="BK542" s="135"/>
      <c r="BL542" s="135"/>
      <c r="BM542" s="135"/>
      <c r="BN542" s="135"/>
      <c r="BO542" s="135"/>
      <c r="BP542" s="135"/>
      <c r="BQ542" s="135"/>
      <c r="BR542" s="135"/>
      <c r="BS542" s="135"/>
      <c r="BT542" s="135"/>
      <c r="BU542" s="135"/>
      <c r="BV542" s="135"/>
      <c r="BW542" s="135"/>
      <c r="BX542" s="135"/>
      <c r="BY542" s="135"/>
      <c r="BZ542" s="135"/>
      <c r="CA542" s="135"/>
      <c r="CB542" s="135"/>
      <c r="CC542" s="135"/>
      <c r="CD542" s="135"/>
      <c r="CE542" s="135"/>
      <c r="CF542" s="135"/>
      <c r="CG542" s="135"/>
      <c r="CH542" s="135"/>
      <c r="CI542" s="135"/>
      <c r="CJ542" s="135"/>
      <c r="CK542" s="135"/>
      <c r="CL542" s="135"/>
      <c r="CM542" s="135"/>
      <c r="CN542" s="135"/>
      <c r="CO542" s="135"/>
      <c r="CP542" s="135"/>
      <c r="CQ542" s="135"/>
      <c r="CR542" s="135"/>
      <c r="CS542" s="135"/>
      <c r="CT542" s="135"/>
      <c r="CU542" s="135"/>
      <c r="CV542" s="135"/>
      <c r="CW542" s="135"/>
      <c r="CX542" s="135"/>
      <c r="CY542" s="135"/>
      <c r="CZ542" s="135"/>
      <c r="DA542" s="135"/>
      <c r="DB542" s="135"/>
      <c r="DC542" s="135"/>
      <c r="DD542" s="135"/>
      <c r="DE542" s="135"/>
      <c r="DF542" s="135"/>
      <c r="DG542" s="135"/>
      <c r="DH542" s="135"/>
      <c r="DI542" s="135"/>
      <c r="DJ542" s="135"/>
      <c r="DK542" s="135"/>
      <c r="DL542" s="135"/>
      <c r="DM542" s="135"/>
      <c r="DN542" s="135"/>
      <c r="DO542" s="135"/>
      <c r="DP542" s="135"/>
      <c r="DQ542" s="135"/>
      <c r="DR542" s="135"/>
      <c r="DS542" s="135"/>
      <c r="DT542" s="135"/>
      <c r="DU542" s="135"/>
      <c r="DV542" s="135"/>
      <c r="DW542" s="135"/>
      <c r="DX542" s="135"/>
      <c r="DY542" s="135"/>
      <c r="DZ542" s="135"/>
      <c r="EA542" s="135"/>
      <c r="EB542" s="135"/>
      <c r="EC542" s="135"/>
      <c r="ED542" s="135"/>
      <c r="EE542" s="135"/>
      <c r="EF542" s="135"/>
      <c r="EG542" s="135"/>
      <c r="EH542" s="135"/>
      <c r="EI542" s="135"/>
      <c r="EJ542" s="135"/>
      <c r="EK542" s="135"/>
      <c r="EL542" s="135"/>
      <c r="EM542" s="135"/>
      <c r="EN542" s="135"/>
      <c r="EO542" s="135"/>
      <c r="EP542" s="135"/>
      <c r="EQ542" s="135"/>
      <c r="ER542" s="135"/>
      <c r="ES542" s="135"/>
      <c r="ET542" s="135"/>
      <c r="EU542" s="135"/>
      <c r="EV542" s="135"/>
      <c r="EW542" s="135"/>
    </row>
    <row r="543" spans="2:153" s="141" customFormat="1" x14ac:dyDescent="0.2">
      <c r="B543" s="134"/>
      <c r="C543" s="135"/>
      <c r="D543" s="136"/>
      <c r="E543" s="136"/>
      <c r="F543" s="137"/>
      <c r="G543" s="138"/>
      <c r="H543" s="138"/>
      <c r="I543" s="463"/>
      <c r="J543" s="134"/>
      <c r="K543" s="139"/>
      <c r="L543" s="140"/>
      <c r="N543" s="134"/>
      <c r="O543" s="134"/>
      <c r="P543" s="134"/>
      <c r="Q543" s="134"/>
      <c r="R543" s="140"/>
      <c r="S543" s="135"/>
      <c r="T543" s="135"/>
      <c r="U543" s="135"/>
      <c r="V543" s="135"/>
      <c r="W543" s="135"/>
      <c r="X543" s="135"/>
      <c r="Y543" s="135"/>
      <c r="Z543" s="135"/>
      <c r="AA543" s="135"/>
      <c r="AB543" s="135"/>
      <c r="AC543" s="135"/>
      <c r="AD543" s="135"/>
      <c r="AE543" s="135"/>
      <c r="AF543" s="135"/>
      <c r="AG543" s="135"/>
      <c r="AH543" s="135"/>
      <c r="AI543" s="135"/>
      <c r="AJ543" s="135"/>
      <c r="AK543" s="135"/>
      <c r="AL543" s="135"/>
      <c r="AM543" s="135"/>
      <c r="AN543" s="135"/>
      <c r="AO543" s="135"/>
      <c r="AP543" s="135"/>
      <c r="AQ543" s="135"/>
      <c r="AR543" s="135"/>
      <c r="AS543" s="135"/>
      <c r="AT543" s="135"/>
      <c r="AU543" s="135"/>
      <c r="AV543" s="135"/>
      <c r="AW543" s="135"/>
      <c r="AX543" s="135"/>
      <c r="AY543" s="135"/>
      <c r="AZ543" s="135"/>
      <c r="BA543" s="135"/>
      <c r="BB543" s="135"/>
      <c r="BC543" s="135"/>
      <c r="BD543" s="135"/>
      <c r="BE543" s="135"/>
      <c r="BF543" s="135"/>
      <c r="BG543" s="135"/>
      <c r="BH543" s="135"/>
      <c r="BI543" s="135"/>
      <c r="BJ543" s="135"/>
      <c r="BK543" s="135"/>
      <c r="BL543" s="135"/>
      <c r="BM543" s="135"/>
      <c r="BN543" s="135"/>
      <c r="BO543" s="135"/>
      <c r="BP543" s="135"/>
      <c r="BQ543" s="135"/>
      <c r="BR543" s="135"/>
      <c r="BS543" s="135"/>
      <c r="BT543" s="135"/>
      <c r="BU543" s="135"/>
      <c r="BV543" s="135"/>
      <c r="BW543" s="135"/>
      <c r="BX543" s="135"/>
      <c r="BY543" s="135"/>
      <c r="BZ543" s="135"/>
      <c r="CA543" s="135"/>
      <c r="CB543" s="135"/>
      <c r="CC543" s="135"/>
      <c r="CD543" s="135"/>
      <c r="CE543" s="135"/>
      <c r="CF543" s="135"/>
      <c r="CG543" s="135"/>
      <c r="CH543" s="135"/>
      <c r="CI543" s="135"/>
      <c r="CJ543" s="135"/>
      <c r="CK543" s="135"/>
      <c r="CL543" s="135"/>
      <c r="CM543" s="135"/>
      <c r="CN543" s="135"/>
      <c r="CO543" s="135"/>
      <c r="CP543" s="135"/>
      <c r="CQ543" s="135"/>
      <c r="CR543" s="135"/>
      <c r="CS543" s="135"/>
      <c r="CT543" s="135"/>
      <c r="CU543" s="135"/>
      <c r="CV543" s="135"/>
      <c r="CW543" s="135"/>
      <c r="CX543" s="135"/>
      <c r="CY543" s="135"/>
      <c r="CZ543" s="135"/>
      <c r="DA543" s="135"/>
      <c r="DB543" s="135"/>
      <c r="DC543" s="135"/>
      <c r="DD543" s="135"/>
      <c r="DE543" s="135"/>
      <c r="DF543" s="135"/>
      <c r="DG543" s="135"/>
      <c r="DH543" s="135"/>
      <c r="DI543" s="135"/>
      <c r="DJ543" s="135"/>
      <c r="DK543" s="135"/>
      <c r="DL543" s="135"/>
      <c r="DM543" s="135"/>
      <c r="DN543" s="135"/>
      <c r="DO543" s="135"/>
      <c r="DP543" s="135"/>
      <c r="DQ543" s="135"/>
      <c r="DR543" s="135"/>
      <c r="DS543" s="135"/>
      <c r="DT543" s="135"/>
      <c r="DU543" s="135"/>
      <c r="DV543" s="135"/>
      <c r="DW543" s="135"/>
      <c r="DX543" s="135"/>
      <c r="DY543" s="135"/>
      <c r="DZ543" s="135"/>
      <c r="EA543" s="135"/>
      <c r="EB543" s="135"/>
      <c r="EC543" s="135"/>
      <c r="ED543" s="135"/>
      <c r="EE543" s="135"/>
      <c r="EF543" s="135"/>
      <c r="EG543" s="135"/>
      <c r="EH543" s="135"/>
      <c r="EI543" s="135"/>
      <c r="EJ543" s="135"/>
      <c r="EK543" s="135"/>
      <c r="EL543" s="135"/>
      <c r="EM543" s="135"/>
      <c r="EN543" s="135"/>
      <c r="EO543" s="135"/>
      <c r="EP543" s="135"/>
      <c r="EQ543" s="135"/>
      <c r="ER543" s="135"/>
      <c r="ES543" s="135"/>
      <c r="ET543" s="135"/>
      <c r="EU543" s="135"/>
      <c r="EV543" s="135"/>
      <c r="EW543" s="135"/>
    </row>
    <row r="544" spans="2:153" s="141" customFormat="1" x14ac:dyDescent="0.2">
      <c r="B544" s="134"/>
      <c r="C544" s="135"/>
      <c r="D544" s="136"/>
      <c r="E544" s="136"/>
      <c r="F544" s="137"/>
      <c r="G544" s="138"/>
      <c r="H544" s="138"/>
      <c r="I544" s="463"/>
      <c r="J544" s="134"/>
      <c r="K544" s="139"/>
      <c r="L544" s="140"/>
      <c r="N544" s="134"/>
      <c r="O544" s="134"/>
      <c r="P544" s="134"/>
      <c r="Q544" s="134"/>
      <c r="R544" s="140"/>
      <c r="S544" s="135"/>
      <c r="T544" s="135"/>
      <c r="U544" s="135"/>
      <c r="V544" s="135"/>
      <c r="W544" s="135"/>
      <c r="X544" s="135"/>
      <c r="Y544" s="135"/>
      <c r="Z544" s="135"/>
      <c r="AA544" s="135"/>
      <c r="AB544" s="135"/>
      <c r="AC544" s="135"/>
      <c r="AD544" s="135"/>
      <c r="AE544" s="135"/>
      <c r="AF544" s="135"/>
      <c r="AG544" s="135"/>
      <c r="AH544" s="135"/>
      <c r="AI544" s="135"/>
      <c r="AJ544" s="135"/>
      <c r="AK544" s="135"/>
      <c r="AL544" s="135"/>
      <c r="AM544" s="135"/>
      <c r="AN544" s="135"/>
      <c r="AO544" s="135"/>
      <c r="AP544" s="135"/>
      <c r="AQ544" s="135"/>
      <c r="AR544" s="135"/>
      <c r="AS544" s="135"/>
      <c r="AT544" s="135"/>
      <c r="AU544" s="135"/>
      <c r="AV544" s="135"/>
      <c r="AW544" s="135"/>
      <c r="AX544" s="135"/>
      <c r="AY544" s="135"/>
      <c r="AZ544" s="135"/>
      <c r="BA544" s="135"/>
      <c r="BB544" s="135"/>
      <c r="BC544" s="135"/>
      <c r="BD544" s="135"/>
      <c r="BE544" s="135"/>
      <c r="BF544" s="135"/>
      <c r="BG544" s="135"/>
      <c r="BH544" s="135"/>
      <c r="BI544" s="135"/>
      <c r="BJ544" s="135"/>
      <c r="BK544" s="135"/>
      <c r="BL544" s="135"/>
      <c r="BM544" s="135"/>
      <c r="BN544" s="135"/>
      <c r="BO544" s="135"/>
      <c r="BP544" s="135"/>
      <c r="BQ544" s="135"/>
      <c r="BR544" s="135"/>
      <c r="BS544" s="135"/>
      <c r="BT544" s="135"/>
      <c r="BU544" s="135"/>
      <c r="BV544" s="135"/>
      <c r="BW544" s="135"/>
      <c r="BX544" s="135"/>
      <c r="BY544" s="135"/>
      <c r="BZ544" s="135"/>
      <c r="CA544" s="135"/>
      <c r="CB544" s="135"/>
      <c r="CC544" s="135"/>
      <c r="CD544" s="135"/>
      <c r="CE544" s="135"/>
      <c r="CF544" s="135"/>
      <c r="CG544" s="135"/>
      <c r="CH544" s="135"/>
      <c r="CI544" s="135"/>
      <c r="CJ544" s="135"/>
      <c r="CK544" s="135"/>
      <c r="CL544" s="135"/>
      <c r="CM544" s="135"/>
      <c r="CN544" s="135"/>
      <c r="CO544" s="135"/>
      <c r="CP544" s="135"/>
      <c r="CQ544" s="135"/>
      <c r="CR544" s="135"/>
      <c r="CS544" s="135"/>
      <c r="CT544" s="135"/>
      <c r="CU544" s="135"/>
      <c r="CV544" s="135"/>
      <c r="CW544" s="135"/>
      <c r="CX544" s="135"/>
      <c r="CY544" s="135"/>
      <c r="CZ544" s="135"/>
      <c r="DA544" s="135"/>
      <c r="DB544" s="135"/>
      <c r="DC544" s="135"/>
      <c r="DD544" s="135"/>
      <c r="DE544" s="135"/>
      <c r="DF544" s="135"/>
      <c r="DG544" s="135"/>
      <c r="DH544" s="135"/>
      <c r="DI544" s="135"/>
      <c r="DJ544" s="135"/>
      <c r="DK544" s="135"/>
      <c r="DL544" s="135"/>
      <c r="DM544" s="135"/>
      <c r="DN544" s="135"/>
      <c r="DO544" s="135"/>
      <c r="DP544" s="135"/>
      <c r="DQ544" s="135"/>
      <c r="DR544" s="135"/>
      <c r="DS544" s="135"/>
      <c r="DT544" s="135"/>
      <c r="DU544" s="135"/>
      <c r="DV544" s="135"/>
      <c r="DW544" s="135"/>
      <c r="DX544" s="135"/>
      <c r="DY544" s="135"/>
      <c r="DZ544" s="135"/>
      <c r="EA544" s="135"/>
      <c r="EB544" s="135"/>
      <c r="EC544" s="135"/>
      <c r="ED544" s="135"/>
      <c r="EE544" s="135"/>
      <c r="EF544" s="135"/>
      <c r="EG544" s="135"/>
      <c r="EH544" s="135"/>
      <c r="EI544" s="135"/>
      <c r="EJ544" s="135"/>
      <c r="EK544" s="135"/>
      <c r="EL544" s="135"/>
      <c r="EM544" s="135"/>
      <c r="EN544" s="135"/>
      <c r="EO544" s="135"/>
      <c r="EP544" s="135"/>
      <c r="EQ544" s="135"/>
      <c r="ER544" s="135"/>
      <c r="ES544" s="135"/>
      <c r="ET544" s="135"/>
      <c r="EU544" s="135"/>
      <c r="EV544" s="135"/>
      <c r="EW544" s="135"/>
    </row>
    <row r="545" spans="2:153" s="141" customFormat="1" x14ac:dyDescent="0.2">
      <c r="B545" s="134"/>
      <c r="C545" s="135"/>
      <c r="D545" s="136"/>
      <c r="E545" s="136"/>
      <c r="F545" s="137"/>
      <c r="G545" s="138"/>
      <c r="H545" s="138"/>
      <c r="I545" s="463"/>
      <c r="J545" s="134"/>
      <c r="K545" s="139"/>
      <c r="L545" s="140"/>
      <c r="N545" s="134"/>
      <c r="O545" s="134"/>
      <c r="P545" s="134"/>
      <c r="Q545" s="134"/>
      <c r="R545" s="140"/>
      <c r="S545" s="135"/>
      <c r="T545" s="135"/>
      <c r="U545" s="135"/>
      <c r="V545" s="135"/>
      <c r="W545" s="135"/>
      <c r="X545" s="135"/>
      <c r="Y545" s="135"/>
      <c r="Z545" s="135"/>
      <c r="AA545" s="135"/>
      <c r="AB545" s="135"/>
      <c r="AC545" s="135"/>
      <c r="AD545" s="135"/>
      <c r="AE545" s="135"/>
      <c r="AF545" s="135"/>
      <c r="AG545" s="135"/>
      <c r="AH545" s="135"/>
      <c r="AI545" s="135"/>
      <c r="AJ545" s="135"/>
      <c r="AK545" s="135"/>
      <c r="AL545" s="135"/>
      <c r="AM545" s="135"/>
      <c r="AN545" s="135"/>
      <c r="AO545" s="135"/>
      <c r="AP545" s="135"/>
      <c r="AQ545" s="135"/>
      <c r="AR545" s="135"/>
      <c r="AS545" s="135"/>
      <c r="AT545" s="135"/>
      <c r="AU545" s="135"/>
      <c r="AV545" s="135"/>
      <c r="AW545" s="135"/>
      <c r="AX545" s="135"/>
      <c r="AY545" s="135"/>
      <c r="AZ545" s="135"/>
      <c r="BA545" s="135"/>
      <c r="BB545" s="135"/>
      <c r="BC545" s="135"/>
      <c r="BD545" s="135"/>
      <c r="BE545" s="135"/>
      <c r="BF545" s="135"/>
      <c r="BG545" s="135"/>
      <c r="BH545" s="135"/>
      <c r="BI545" s="135"/>
      <c r="BJ545" s="135"/>
      <c r="BK545" s="135"/>
      <c r="BL545" s="135"/>
      <c r="BM545" s="135"/>
      <c r="BN545" s="135"/>
      <c r="BO545" s="135"/>
      <c r="BP545" s="135"/>
      <c r="BQ545" s="135"/>
      <c r="BR545" s="135"/>
      <c r="BS545" s="135"/>
      <c r="BT545" s="135"/>
      <c r="BU545" s="135"/>
      <c r="BV545" s="135"/>
      <c r="BW545" s="135"/>
      <c r="BX545" s="135"/>
      <c r="BY545" s="135"/>
      <c r="BZ545" s="135"/>
      <c r="CA545" s="135"/>
      <c r="CB545" s="135"/>
      <c r="CC545" s="135"/>
      <c r="CD545" s="135"/>
      <c r="CE545" s="135"/>
      <c r="CF545" s="135"/>
      <c r="CG545" s="135"/>
      <c r="CH545" s="135"/>
      <c r="CI545" s="135"/>
      <c r="CJ545" s="135"/>
      <c r="CK545" s="135"/>
      <c r="CL545" s="135"/>
      <c r="CM545" s="135"/>
      <c r="CN545" s="135"/>
      <c r="CO545" s="135"/>
      <c r="CP545" s="135"/>
      <c r="CQ545" s="135"/>
      <c r="CR545" s="135"/>
      <c r="CS545" s="135"/>
      <c r="CT545" s="135"/>
      <c r="CU545" s="135"/>
      <c r="CV545" s="135"/>
      <c r="CW545" s="135"/>
      <c r="CX545" s="135"/>
      <c r="CY545" s="135"/>
      <c r="CZ545" s="135"/>
      <c r="DA545" s="135"/>
      <c r="DB545" s="135"/>
      <c r="DC545" s="135"/>
      <c r="DD545" s="135"/>
      <c r="DE545" s="135"/>
      <c r="DF545" s="135"/>
      <c r="DG545" s="135"/>
      <c r="DH545" s="135"/>
      <c r="DI545" s="135"/>
      <c r="DJ545" s="135"/>
      <c r="DK545" s="135"/>
      <c r="DL545" s="135"/>
      <c r="DM545" s="135"/>
      <c r="DN545" s="135"/>
      <c r="DO545" s="135"/>
      <c r="DP545" s="135"/>
      <c r="DQ545" s="135"/>
      <c r="DR545" s="135"/>
      <c r="DS545" s="135"/>
      <c r="DT545" s="135"/>
      <c r="DU545" s="135"/>
      <c r="DV545" s="135"/>
      <c r="DW545" s="135"/>
      <c r="DX545" s="135"/>
      <c r="DY545" s="135"/>
      <c r="DZ545" s="135"/>
      <c r="EA545" s="135"/>
      <c r="EB545" s="135"/>
      <c r="EC545" s="135"/>
      <c r="ED545" s="135"/>
      <c r="EE545" s="135"/>
      <c r="EF545" s="135"/>
      <c r="EG545" s="135"/>
      <c r="EH545" s="135"/>
      <c r="EI545" s="135"/>
      <c r="EJ545" s="135"/>
      <c r="EK545" s="135"/>
      <c r="EL545" s="135"/>
      <c r="EM545" s="135"/>
      <c r="EN545" s="135"/>
      <c r="EO545" s="135"/>
      <c r="EP545" s="135"/>
      <c r="EQ545" s="135"/>
      <c r="ER545" s="135"/>
      <c r="ES545" s="135"/>
      <c r="ET545" s="135"/>
      <c r="EU545" s="135"/>
      <c r="EV545" s="135"/>
      <c r="EW545" s="135"/>
    </row>
    <row r="546" spans="2:153" s="141" customFormat="1" x14ac:dyDescent="0.2">
      <c r="B546" s="134"/>
      <c r="C546" s="135"/>
      <c r="D546" s="136"/>
      <c r="E546" s="136"/>
      <c r="F546" s="137"/>
      <c r="G546" s="138"/>
      <c r="H546" s="138"/>
      <c r="I546" s="463"/>
      <c r="J546" s="134"/>
      <c r="K546" s="139"/>
      <c r="L546" s="140"/>
      <c r="N546" s="134"/>
      <c r="O546" s="134"/>
      <c r="P546" s="134"/>
      <c r="Q546" s="134"/>
      <c r="R546" s="140"/>
      <c r="S546" s="135"/>
      <c r="T546" s="135"/>
      <c r="U546" s="135"/>
      <c r="V546" s="135"/>
      <c r="W546" s="135"/>
      <c r="X546" s="135"/>
      <c r="Y546" s="135"/>
      <c r="Z546" s="135"/>
      <c r="AA546" s="135"/>
      <c r="AB546" s="135"/>
      <c r="AC546" s="135"/>
      <c r="AD546" s="135"/>
      <c r="AE546" s="135"/>
      <c r="AF546" s="135"/>
      <c r="AG546" s="135"/>
      <c r="AH546" s="135"/>
      <c r="AI546" s="135"/>
      <c r="AJ546" s="135"/>
      <c r="AK546" s="135"/>
      <c r="AL546" s="135"/>
      <c r="AM546" s="135"/>
      <c r="AN546" s="135"/>
      <c r="AO546" s="135"/>
      <c r="AP546" s="135"/>
      <c r="AQ546" s="135"/>
      <c r="AR546" s="135"/>
      <c r="AS546" s="135"/>
      <c r="AT546" s="135"/>
      <c r="AU546" s="135"/>
      <c r="AV546" s="135"/>
      <c r="AW546" s="135"/>
      <c r="AX546" s="135"/>
      <c r="AY546" s="135"/>
      <c r="AZ546" s="135"/>
      <c r="BA546" s="135"/>
      <c r="BB546" s="135"/>
      <c r="BC546" s="135"/>
      <c r="BD546" s="135"/>
      <c r="BE546" s="135"/>
      <c r="BF546" s="135"/>
      <c r="BG546" s="135"/>
      <c r="BH546" s="135"/>
      <c r="BI546" s="135"/>
      <c r="BJ546" s="135"/>
      <c r="BK546" s="135"/>
      <c r="BL546" s="135"/>
      <c r="BM546" s="135"/>
      <c r="BN546" s="135"/>
      <c r="BO546" s="135"/>
      <c r="BP546" s="135"/>
      <c r="BQ546" s="135"/>
      <c r="BR546" s="135"/>
      <c r="BS546" s="135"/>
      <c r="BT546" s="135"/>
      <c r="BU546" s="135"/>
      <c r="BV546" s="135"/>
      <c r="BW546" s="135"/>
      <c r="BX546" s="135"/>
      <c r="BY546" s="135"/>
      <c r="BZ546" s="135"/>
      <c r="CA546" s="135"/>
      <c r="CB546" s="135"/>
      <c r="CC546" s="135"/>
      <c r="CD546" s="135"/>
      <c r="CE546" s="135"/>
      <c r="CF546" s="135"/>
      <c r="CG546" s="135"/>
      <c r="CH546" s="135"/>
      <c r="CI546" s="135"/>
      <c r="CJ546" s="135"/>
      <c r="CK546" s="135"/>
      <c r="CL546" s="135"/>
      <c r="CM546" s="135"/>
      <c r="CN546" s="135"/>
      <c r="CO546" s="135"/>
      <c r="CP546" s="135"/>
      <c r="CQ546" s="135"/>
      <c r="CR546" s="135"/>
      <c r="CS546" s="135"/>
      <c r="CT546" s="135"/>
      <c r="CU546" s="135"/>
      <c r="CV546" s="135"/>
      <c r="CW546" s="135"/>
      <c r="CX546" s="135"/>
      <c r="CY546" s="135"/>
      <c r="CZ546" s="135"/>
      <c r="DA546" s="135"/>
      <c r="DB546" s="135"/>
      <c r="DC546" s="135"/>
      <c r="DD546" s="135"/>
      <c r="DE546" s="135"/>
      <c r="DF546" s="135"/>
      <c r="DG546" s="135"/>
      <c r="DH546" s="135"/>
      <c r="DI546" s="135"/>
      <c r="DJ546" s="135"/>
      <c r="DK546" s="135"/>
      <c r="DL546" s="135"/>
      <c r="DM546" s="135"/>
      <c r="DN546" s="135"/>
      <c r="DO546" s="135"/>
      <c r="DP546" s="135"/>
      <c r="DQ546" s="135"/>
      <c r="DR546" s="135"/>
      <c r="DS546" s="135"/>
      <c r="DT546" s="135"/>
      <c r="DU546" s="135"/>
      <c r="DV546" s="135"/>
      <c r="DW546" s="135"/>
      <c r="DX546" s="135"/>
      <c r="DY546" s="135"/>
      <c r="DZ546" s="135"/>
      <c r="EA546" s="135"/>
      <c r="EB546" s="135"/>
      <c r="EC546" s="135"/>
      <c r="ED546" s="135"/>
      <c r="EE546" s="135"/>
      <c r="EF546" s="135"/>
      <c r="EG546" s="135"/>
      <c r="EH546" s="135"/>
      <c r="EI546" s="135"/>
      <c r="EJ546" s="135"/>
      <c r="EK546" s="135"/>
      <c r="EL546" s="135"/>
      <c r="EM546" s="135"/>
      <c r="EN546" s="135"/>
      <c r="EO546" s="135"/>
      <c r="EP546" s="135"/>
      <c r="EQ546" s="135"/>
      <c r="ER546" s="135"/>
      <c r="ES546" s="135"/>
      <c r="ET546" s="135"/>
      <c r="EU546" s="135"/>
      <c r="EV546" s="135"/>
      <c r="EW546" s="135"/>
    </row>
    <row r="547" spans="2:153" s="141" customFormat="1" x14ac:dyDescent="0.2">
      <c r="B547" s="134"/>
      <c r="C547" s="135"/>
      <c r="D547" s="136"/>
      <c r="E547" s="136"/>
      <c r="F547" s="137"/>
      <c r="G547" s="138"/>
      <c r="H547" s="138"/>
      <c r="I547" s="463"/>
      <c r="J547" s="134"/>
      <c r="K547" s="139"/>
      <c r="L547" s="140"/>
      <c r="N547" s="134"/>
      <c r="O547" s="134"/>
      <c r="P547" s="134"/>
      <c r="Q547" s="134"/>
      <c r="R547" s="140"/>
      <c r="S547" s="135"/>
      <c r="T547" s="135"/>
      <c r="U547" s="135"/>
      <c r="V547" s="135"/>
      <c r="W547" s="135"/>
      <c r="X547" s="135"/>
      <c r="Y547" s="135"/>
      <c r="Z547" s="135"/>
      <c r="AA547" s="135"/>
      <c r="AB547" s="135"/>
      <c r="AC547" s="135"/>
      <c r="AD547" s="135"/>
      <c r="AE547" s="135"/>
      <c r="AF547" s="135"/>
      <c r="AG547" s="135"/>
      <c r="AH547" s="135"/>
      <c r="AI547" s="135"/>
      <c r="AJ547" s="135"/>
      <c r="AK547" s="135"/>
      <c r="AL547" s="135"/>
      <c r="AM547" s="135"/>
      <c r="AN547" s="135"/>
      <c r="AO547" s="135"/>
      <c r="AP547" s="135"/>
      <c r="AQ547" s="135"/>
      <c r="AR547" s="135"/>
      <c r="AS547" s="135"/>
      <c r="AT547" s="135"/>
      <c r="AU547" s="135"/>
      <c r="AV547" s="135"/>
      <c r="AW547" s="135"/>
      <c r="AX547" s="135"/>
      <c r="AY547" s="135"/>
      <c r="AZ547" s="135"/>
      <c r="BA547" s="135"/>
      <c r="BB547" s="135"/>
      <c r="BC547" s="135"/>
      <c r="BD547" s="135"/>
      <c r="BE547" s="135"/>
      <c r="BF547" s="135"/>
      <c r="BG547" s="135"/>
      <c r="BH547" s="135"/>
      <c r="BI547" s="135"/>
      <c r="BJ547" s="135"/>
      <c r="BK547" s="135"/>
      <c r="BL547" s="135"/>
      <c r="BM547" s="135"/>
      <c r="BN547" s="135"/>
      <c r="BO547" s="135"/>
      <c r="BP547" s="135"/>
      <c r="BQ547" s="135"/>
      <c r="BR547" s="135"/>
      <c r="BS547" s="135"/>
      <c r="BT547" s="135"/>
      <c r="BU547" s="135"/>
      <c r="BV547" s="135"/>
      <c r="BW547" s="135"/>
      <c r="BX547" s="135"/>
      <c r="BY547" s="135"/>
      <c r="BZ547" s="135"/>
      <c r="CA547" s="135"/>
      <c r="CB547" s="135"/>
      <c r="CC547" s="135"/>
      <c r="CD547" s="135"/>
      <c r="CE547" s="135"/>
      <c r="CF547" s="135"/>
      <c r="CG547" s="135"/>
      <c r="CH547" s="135"/>
      <c r="CI547" s="135"/>
      <c r="CJ547" s="135"/>
      <c r="CK547" s="135"/>
      <c r="CL547" s="135"/>
      <c r="CM547" s="135"/>
      <c r="CN547" s="135"/>
      <c r="CO547" s="135"/>
      <c r="CP547" s="135"/>
      <c r="CQ547" s="135"/>
      <c r="CR547" s="135"/>
      <c r="CS547" s="135"/>
      <c r="CT547" s="135"/>
      <c r="CU547" s="135"/>
      <c r="CV547" s="135"/>
      <c r="CW547" s="135"/>
      <c r="CX547" s="135"/>
      <c r="CY547" s="135"/>
      <c r="CZ547" s="135"/>
      <c r="DA547" s="135"/>
      <c r="DB547" s="135"/>
      <c r="DC547" s="135"/>
      <c r="DD547" s="135"/>
      <c r="DE547" s="135"/>
      <c r="DF547" s="135"/>
      <c r="DG547" s="135"/>
      <c r="DH547" s="135"/>
      <c r="DI547" s="135"/>
      <c r="DJ547" s="135"/>
      <c r="DK547" s="135"/>
      <c r="DL547" s="135"/>
      <c r="DM547" s="135"/>
      <c r="DN547" s="135"/>
      <c r="DO547" s="135"/>
      <c r="DP547" s="135"/>
      <c r="DQ547" s="135"/>
      <c r="DR547" s="135"/>
      <c r="DS547" s="135"/>
      <c r="DT547" s="135"/>
      <c r="DU547" s="135"/>
      <c r="DV547" s="135"/>
      <c r="DW547" s="135"/>
      <c r="DX547" s="135"/>
      <c r="DY547" s="135"/>
      <c r="DZ547" s="135"/>
      <c r="EA547" s="135"/>
      <c r="EB547" s="135"/>
      <c r="EC547" s="135"/>
      <c r="ED547" s="135"/>
      <c r="EE547" s="135"/>
      <c r="EF547" s="135"/>
      <c r="EG547" s="135"/>
      <c r="EH547" s="135"/>
      <c r="EI547" s="135"/>
      <c r="EJ547" s="135"/>
      <c r="EK547" s="135"/>
      <c r="EL547" s="135"/>
      <c r="EM547" s="135"/>
      <c r="EN547" s="135"/>
      <c r="EO547" s="135"/>
      <c r="EP547" s="135"/>
      <c r="EQ547" s="135"/>
      <c r="ER547" s="135"/>
      <c r="ES547" s="135"/>
      <c r="ET547" s="135"/>
      <c r="EU547" s="135"/>
      <c r="EV547" s="135"/>
      <c r="EW547" s="135"/>
    </row>
    <row r="548" spans="2:153" s="141" customFormat="1" x14ac:dyDescent="0.2">
      <c r="B548" s="134"/>
      <c r="C548" s="135"/>
      <c r="D548" s="136"/>
      <c r="E548" s="136"/>
      <c r="F548" s="137"/>
      <c r="G548" s="138"/>
      <c r="H548" s="138"/>
      <c r="I548" s="463"/>
      <c r="J548" s="134"/>
      <c r="K548" s="139"/>
      <c r="L548" s="140"/>
      <c r="N548" s="134"/>
      <c r="O548" s="134"/>
      <c r="P548" s="134"/>
      <c r="Q548" s="134"/>
      <c r="R548" s="140"/>
      <c r="S548" s="135"/>
      <c r="T548" s="135"/>
      <c r="U548" s="135"/>
      <c r="V548" s="135"/>
      <c r="W548" s="135"/>
      <c r="X548" s="135"/>
      <c r="Y548" s="135"/>
      <c r="Z548" s="135"/>
      <c r="AA548" s="135"/>
      <c r="AB548" s="135"/>
      <c r="AC548" s="135"/>
      <c r="AD548" s="135"/>
      <c r="AE548" s="135"/>
      <c r="AF548" s="135"/>
      <c r="AG548" s="135"/>
      <c r="AH548" s="135"/>
      <c r="AI548" s="135"/>
      <c r="AJ548" s="135"/>
      <c r="AK548" s="135"/>
      <c r="AL548" s="135"/>
      <c r="AM548" s="135"/>
      <c r="AN548" s="135"/>
      <c r="AO548" s="135"/>
      <c r="AP548" s="135"/>
      <c r="AQ548" s="135"/>
      <c r="AR548" s="135"/>
      <c r="AS548" s="135"/>
      <c r="AT548" s="135"/>
      <c r="AU548" s="135"/>
      <c r="AV548" s="135"/>
      <c r="AW548" s="135"/>
      <c r="AX548" s="135"/>
      <c r="AY548" s="135"/>
      <c r="AZ548" s="135"/>
      <c r="BA548" s="135"/>
      <c r="BB548" s="135"/>
      <c r="BC548" s="135"/>
      <c r="BD548" s="135"/>
      <c r="BE548" s="135"/>
      <c r="BF548" s="135"/>
      <c r="BG548" s="135"/>
      <c r="BH548" s="135"/>
      <c r="BI548" s="135"/>
      <c r="BJ548" s="135"/>
      <c r="BK548" s="135"/>
      <c r="BL548" s="135"/>
      <c r="BM548" s="135"/>
      <c r="BN548" s="135"/>
      <c r="BO548" s="135"/>
      <c r="BP548" s="135"/>
      <c r="BQ548" s="135"/>
      <c r="BR548" s="135"/>
      <c r="BS548" s="135"/>
      <c r="BT548" s="135"/>
      <c r="BU548" s="135"/>
      <c r="BV548" s="135"/>
      <c r="BW548" s="135"/>
      <c r="BX548" s="135"/>
      <c r="BY548" s="135"/>
      <c r="BZ548" s="135"/>
      <c r="CA548" s="135"/>
      <c r="CB548" s="135"/>
      <c r="CC548" s="135"/>
      <c r="CD548" s="135"/>
      <c r="CE548" s="135"/>
      <c r="CF548" s="135"/>
      <c r="CG548" s="135"/>
      <c r="CH548" s="135"/>
      <c r="CI548" s="135"/>
      <c r="CJ548" s="135"/>
      <c r="CK548" s="135"/>
      <c r="CL548" s="135"/>
      <c r="CM548" s="135"/>
      <c r="CN548" s="135"/>
      <c r="CO548" s="135"/>
      <c r="CP548" s="135"/>
      <c r="CQ548" s="135"/>
      <c r="CR548" s="135"/>
      <c r="CS548" s="135"/>
      <c r="CT548" s="135"/>
      <c r="CU548" s="135"/>
      <c r="CV548" s="135"/>
      <c r="CW548" s="135"/>
      <c r="CX548" s="135"/>
      <c r="CY548" s="135"/>
      <c r="CZ548" s="135"/>
      <c r="DA548" s="135"/>
      <c r="DB548" s="135"/>
      <c r="DC548" s="135"/>
      <c r="DD548" s="135"/>
      <c r="DE548" s="135"/>
      <c r="DF548" s="135"/>
      <c r="DG548" s="135"/>
      <c r="DH548" s="135"/>
      <c r="DI548" s="135"/>
      <c r="DJ548" s="135"/>
      <c r="DK548" s="135"/>
      <c r="DL548" s="135"/>
      <c r="DM548" s="135"/>
      <c r="DN548" s="135"/>
      <c r="DO548" s="135"/>
      <c r="DP548" s="135"/>
      <c r="DQ548" s="135"/>
      <c r="DR548" s="135"/>
      <c r="DS548" s="135"/>
      <c r="DT548" s="135"/>
      <c r="DU548" s="135"/>
      <c r="DV548" s="135"/>
      <c r="DW548" s="135"/>
      <c r="DX548" s="135"/>
      <c r="DY548" s="135"/>
      <c r="DZ548" s="135"/>
      <c r="EA548" s="135"/>
      <c r="EB548" s="135"/>
      <c r="EC548" s="135"/>
      <c r="ED548" s="135"/>
      <c r="EE548" s="135"/>
      <c r="EF548" s="135"/>
      <c r="EG548" s="135"/>
      <c r="EH548" s="135"/>
      <c r="EI548" s="135"/>
      <c r="EJ548" s="135"/>
      <c r="EK548" s="135"/>
      <c r="EL548" s="135"/>
      <c r="EM548" s="135"/>
      <c r="EN548" s="135"/>
      <c r="EO548" s="135"/>
      <c r="EP548" s="135"/>
      <c r="EQ548" s="135"/>
      <c r="ER548" s="135"/>
      <c r="ES548" s="135"/>
      <c r="ET548" s="135"/>
      <c r="EU548" s="135"/>
      <c r="EV548" s="135"/>
      <c r="EW548" s="135"/>
    </row>
    <row r="549" spans="2:153" s="141" customFormat="1" x14ac:dyDescent="0.2">
      <c r="B549" s="134"/>
      <c r="C549" s="135"/>
      <c r="D549" s="136"/>
      <c r="E549" s="136"/>
      <c r="F549" s="137"/>
      <c r="G549" s="138"/>
      <c r="H549" s="138"/>
      <c r="I549" s="463"/>
      <c r="J549" s="134"/>
      <c r="K549" s="139"/>
      <c r="L549" s="140"/>
      <c r="N549" s="134"/>
      <c r="O549" s="134"/>
      <c r="P549" s="134"/>
      <c r="Q549" s="134"/>
      <c r="R549" s="140"/>
      <c r="S549" s="135"/>
      <c r="T549" s="135"/>
      <c r="U549" s="135"/>
      <c r="V549" s="135"/>
      <c r="W549" s="135"/>
      <c r="X549" s="135"/>
      <c r="Y549" s="135"/>
      <c r="Z549" s="135"/>
      <c r="AA549" s="135"/>
      <c r="AB549" s="135"/>
      <c r="AC549" s="135"/>
      <c r="AD549" s="135"/>
      <c r="AE549" s="135"/>
      <c r="AF549" s="135"/>
      <c r="AG549" s="135"/>
      <c r="AH549" s="135"/>
      <c r="AI549" s="135"/>
      <c r="AJ549" s="135"/>
      <c r="AK549" s="135"/>
      <c r="AL549" s="135"/>
      <c r="AM549" s="135"/>
      <c r="AN549" s="135"/>
      <c r="AO549" s="135"/>
      <c r="AP549" s="135"/>
      <c r="AQ549" s="135"/>
      <c r="AR549" s="135"/>
      <c r="AS549" s="135"/>
      <c r="AT549" s="135"/>
      <c r="AU549" s="135"/>
      <c r="AV549" s="135"/>
      <c r="AW549" s="135"/>
      <c r="AX549" s="135"/>
      <c r="AY549" s="135"/>
      <c r="AZ549" s="135"/>
      <c r="BA549" s="135"/>
      <c r="BB549" s="135"/>
      <c r="BC549" s="135"/>
      <c r="BD549" s="135"/>
      <c r="BE549" s="135"/>
      <c r="BF549" s="135"/>
      <c r="BG549" s="135"/>
      <c r="BH549" s="135"/>
      <c r="BI549" s="135"/>
      <c r="BJ549" s="135"/>
      <c r="BK549" s="135"/>
      <c r="BL549" s="135"/>
      <c r="BM549" s="135"/>
      <c r="BN549" s="135"/>
      <c r="BO549" s="135"/>
      <c r="BP549" s="135"/>
      <c r="BQ549" s="135"/>
      <c r="BR549" s="135"/>
      <c r="BS549" s="135"/>
      <c r="BT549" s="135"/>
      <c r="BU549" s="135"/>
      <c r="BV549" s="135"/>
      <c r="BW549" s="135"/>
      <c r="BX549" s="135"/>
      <c r="BY549" s="135"/>
      <c r="BZ549" s="135"/>
      <c r="CA549" s="135"/>
      <c r="CB549" s="135"/>
      <c r="CC549" s="135"/>
      <c r="CD549" s="135"/>
      <c r="CE549" s="135"/>
      <c r="CF549" s="135"/>
      <c r="CG549" s="135"/>
      <c r="CH549" s="135"/>
      <c r="CI549" s="135"/>
      <c r="CJ549" s="135"/>
      <c r="CK549" s="135"/>
      <c r="CL549" s="135"/>
      <c r="CM549" s="135"/>
      <c r="CN549" s="135"/>
      <c r="CO549" s="135"/>
      <c r="CP549" s="135"/>
      <c r="CQ549" s="135"/>
      <c r="CR549" s="135"/>
      <c r="CS549" s="135"/>
      <c r="CT549" s="135"/>
      <c r="CU549" s="135"/>
      <c r="CV549" s="135"/>
      <c r="CW549" s="135"/>
      <c r="CX549" s="135"/>
      <c r="CY549" s="135"/>
      <c r="CZ549" s="135"/>
      <c r="DA549" s="135"/>
      <c r="DB549" s="135"/>
      <c r="DC549" s="135"/>
      <c r="DD549" s="135"/>
      <c r="DE549" s="135"/>
      <c r="DF549" s="135"/>
      <c r="DG549" s="135"/>
      <c r="DH549" s="135"/>
      <c r="DI549" s="135"/>
      <c r="DJ549" s="135"/>
      <c r="DK549" s="135"/>
      <c r="DL549" s="135"/>
      <c r="DM549" s="135"/>
      <c r="DN549" s="135"/>
      <c r="DO549" s="135"/>
      <c r="DP549" s="135"/>
      <c r="DQ549" s="135"/>
      <c r="DR549" s="135"/>
      <c r="DS549" s="135"/>
      <c r="DT549" s="135"/>
      <c r="DU549" s="135"/>
      <c r="DV549" s="135"/>
      <c r="DW549" s="135"/>
      <c r="DX549" s="135"/>
      <c r="DY549" s="135"/>
      <c r="DZ549" s="135"/>
      <c r="EA549" s="135"/>
      <c r="EB549" s="135"/>
      <c r="EC549" s="135"/>
      <c r="ED549" s="135"/>
      <c r="EE549" s="135"/>
      <c r="EF549" s="135"/>
      <c r="EG549" s="135"/>
      <c r="EH549" s="135"/>
      <c r="EI549" s="135"/>
      <c r="EJ549" s="135"/>
      <c r="EK549" s="135"/>
      <c r="EL549" s="135"/>
      <c r="EM549" s="135"/>
      <c r="EN549" s="135"/>
      <c r="EO549" s="135"/>
      <c r="EP549" s="135"/>
      <c r="EQ549" s="135"/>
      <c r="ER549" s="135"/>
      <c r="ES549" s="135"/>
      <c r="ET549" s="135"/>
      <c r="EU549" s="135"/>
      <c r="EV549" s="135"/>
      <c r="EW549" s="135"/>
    </row>
    <row r="550" spans="2:153" s="141" customFormat="1" x14ac:dyDescent="0.2">
      <c r="B550" s="134"/>
      <c r="C550" s="135"/>
      <c r="D550" s="136"/>
      <c r="E550" s="136"/>
      <c r="F550" s="137"/>
      <c r="G550" s="138"/>
      <c r="H550" s="138"/>
      <c r="I550" s="463"/>
      <c r="J550" s="134"/>
      <c r="K550" s="139"/>
      <c r="L550" s="140"/>
      <c r="N550" s="134"/>
      <c r="O550" s="134"/>
      <c r="P550" s="134"/>
      <c r="Q550" s="134"/>
      <c r="R550" s="140"/>
      <c r="S550" s="135"/>
      <c r="T550" s="135"/>
      <c r="U550" s="135"/>
      <c r="V550" s="135"/>
      <c r="W550" s="135"/>
      <c r="X550" s="135"/>
      <c r="Y550" s="135"/>
      <c r="Z550" s="135"/>
      <c r="AA550" s="135"/>
      <c r="AB550" s="135"/>
      <c r="AC550" s="135"/>
      <c r="AD550" s="135"/>
      <c r="AE550" s="135"/>
      <c r="AF550" s="135"/>
      <c r="AG550" s="135"/>
      <c r="AH550" s="135"/>
      <c r="AI550" s="135"/>
      <c r="AJ550" s="135"/>
      <c r="AK550" s="135"/>
      <c r="AL550" s="135"/>
      <c r="AM550" s="135"/>
      <c r="AN550" s="135"/>
      <c r="AO550" s="135"/>
      <c r="AP550" s="135"/>
      <c r="AQ550" s="135"/>
      <c r="AR550" s="135"/>
      <c r="AS550" s="135"/>
      <c r="AT550" s="135"/>
      <c r="AU550" s="135"/>
      <c r="AV550" s="135"/>
      <c r="AW550" s="135"/>
      <c r="AX550" s="135"/>
      <c r="AY550" s="135"/>
      <c r="AZ550" s="135"/>
      <c r="BA550" s="135"/>
      <c r="BB550" s="135"/>
      <c r="BC550" s="135"/>
      <c r="BD550" s="135"/>
      <c r="BE550" s="135"/>
      <c r="BF550" s="135"/>
      <c r="BG550" s="135"/>
      <c r="BH550" s="135"/>
      <c r="BI550" s="135"/>
      <c r="BJ550" s="135"/>
      <c r="BK550" s="135"/>
      <c r="BL550" s="135"/>
      <c r="BM550" s="135"/>
      <c r="BN550" s="135"/>
      <c r="BO550" s="135"/>
      <c r="BP550" s="135"/>
      <c r="BQ550" s="135"/>
      <c r="BR550" s="135"/>
      <c r="BS550" s="135"/>
      <c r="BT550" s="135"/>
      <c r="BU550" s="135"/>
      <c r="BV550" s="135"/>
      <c r="BW550" s="135"/>
      <c r="BX550" s="135"/>
      <c r="BY550" s="135"/>
      <c r="BZ550" s="135"/>
      <c r="CA550" s="135"/>
      <c r="CB550" s="135"/>
      <c r="CC550" s="135"/>
      <c r="CD550" s="135"/>
      <c r="CE550" s="135"/>
      <c r="CF550" s="135"/>
      <c r="CG550" s="135"/>
      <c r="CH550" s="135"/>
      <c r="CI550" s="135"/>
      <c r="CJ550" s="135"/>
      <c r="CK550" s="135"/>
      <c r="CL550" s="135"/>
      <c r="CM550" s="135"/>
      <c r="CN550" s="135"/>
      <c r="CO550" s="135"/>
      <c r="CP550" s="135"/>
      <c r="CQ550" s="135"/>
      <c r="CR550" s="135"/>
      <c r="CS550" s="135"/>
      <c r="CT550" s="135"/>
      <c r="CU550" s="135"/>
      <c r="CV550" s="135"/>
      <c r="CW550" s="135"/>
      <c r="CX550" s="135"/>
      <c r="CY550" s="135"/>
      <c r="CZ550" s="135"/>
      <c r="DA550" s="135"/>
      <c r="DB550" s="135"/>
      <c r="DC550" s="135"/>
      <c r="DD550" s="135"/>
      <c r="DE550" s="135"/>
      <c r="DF550" s="135"/>
      <c r="DG550" s="135"/>
      <c r="DH550" s="135"/>
      <c r="DI550" s="135"/>
      <c r="DJ550" s="135"/>
      <c r="DK550" s="135"/>
      <c r="DL550" s="135"/>
      <c r="DM550" s="135"/>
      <c r="DN550" s="135"/>
      <c r="DO550" s="135"/>
      <c r="DP550" s="135"/>
      <c r="DQ550" s="135"/>
      <c r="DR550" s="135"/>
      <c r="DS550" s="135"/>
      <c r="DT550" s="135"/>
      <c r="DU550" s="135"/>
      <c r="DV550" s="135"/>
      <c r="DW550" s="135"/>
      <c r="DX550" s="135"/>
      <c r="DY550" s="135"/>
      <c r="DZ550" s="135"/>
      <c r="EA550" s="135"/>
      <c r="EB550" s="135"/>
      <c r="EC550" s="135"/>
      <c r="ED550" s="135"/>
      <c r="EE550" s="135"/>
      <c r="EF550" s="135"/>
      <c r="EG550" s="135"/>
      <c r="EH550" s="135"/>
      <c r="EI550" s="135"/>
      <c r="EJ550" s="135"/>
      <c r="EK550" s="135"/>
      <c r="EL550" s="135"/>
      <c r="EM550" s="135"/>
      <c r="EN550" s="135"/>
      <c r="EO550" s="135"/>
      <c r="EP550" s="135"/>
      <c r="EQ550" s="135"/>
      <c r="ER550" s="135"/>
      <c r="ES550" s="135"/>
      <c r="ET550" s="135"/>
      <c r="EU550" s="135"/>
      <c r="EV550" s="135"/>
      <c r="EW550" s="135"/>
    </row>
    <row r="551" spans="2:153" s="141" customFormat="1" x14ac:dyDescent="0.2">
      <c r="B551" s="134"/>
      <c r="C551" s="135"/>
      <c r="D551" s="136"/>
      <c r="E551" s="136"/>
      <c r="F551" s="137"/>
      <c r="G551" s="138"/>
      <c r="H551" s="138"/>
      <c r="I551" s="463"/>
      <c r="J551" s="134"/>
      <c r="K551" s="139"/>
      <c r="L551" s="140"/>
      <c r="N551" s="134"/>
      <c r="O551" s="134"/>
      <c r="P551" s="134"/>
      <c r="Q551" s="134"/>
      <c r="R551" s="140"/>
      <c r="S551" s="135"/>
      <c r="T551" s="135"/>
      <c r="U551" s="135"/>
      <c r="V551" s="135"/>
      <c r="W551" s="135"/>
      <c r="X551" s="135"/>
      <c r="Y551" s="135"/>
      <c r="Z551" s="135"/>
      <c r="AA551" s="135"/>
      <c r="AB551" s="135"/>
      <c r="AC551" s="135"/>
      <c r="AD551" s="135"/>
      <c r="AE551" s="135"/>
      <c r="AF551" s="135"/>
      <c r="AG551" s="135"/>
      <c r="AH551" s="135"/>
      <c r="AI551" s="135"/>
      <c r="AJ551" s="135"/>
      <c r="AK551" s="135"/>
      <c r="AL551" s="135"/>
      <c r="AM551" s="135"/>
      <c r="AN551" s="135"/>
      <c r="AO551" s="135"/>
      <c r="AP551" s="135"/>
      <c r="AQ551" s="135"/>
      <c r="AR551" s="135"/>
      <c r="AS551" s="135"/>
      <c r="AT551" s="135"/>
      <c r="AU551" s="135"/>
      <c r="AV551" s="135"/>
      <c r="AW551" s="135"/>
      <c r="AX551" s="135"/>
      <c r="AY551" s="135"/>
      <c r="AZ551" s="135"/>
      <c r="BA551" s="135"/>
      <c r="BB551" s="135"/>
      <c r="BC551" s="135"/>
      <c r="BD551" s="135"/>
      <c r="BE551" s="135"/>
      <c r="BF551" s="135"/>
      <c r="BG551" s="135"/>
      <c r="BH551" s="135"/>
      <c r="BI551" s="135"/>
      <c r="BJ551" s="135"/>
      <c r="BK551" s="135"/>
      <c r="BL551" s="135"/>
      <c r="BM551" s="135"/>
      <c r="BN551" s="135"/>
      <c r="BO551" s="135"/>
      <c r="BP551" s="135"/>
      <c r="BQ551" s="135"/>
      <c r="BR551" s="135"/>
      <c r="BS551" s="135"/>
      <c r="BT551" s="135"/>
      <c r="BU551" s="135"/>
      <c r="BV551" s="135"/>
      <c r="BW551" s="135"/>
      <c r="BX551" s="135"/>
      <c r="BY551" s="135"/>
      <c r="BZ551" s="135"/>
      <c r="CA551" s="135"/>
      <c r="CB551" s="135"/>
      <c r="CC551" s="135"/>
      <c r="CD551" s="135"/>
      <c r="CE551" s="135"/>
      <c r="CF551" s="135"/>
      <c r="CG551" s="135"/>
      <c r="CH551" s="135"/>
      <c r="CI551" s="135"/>
      <c r="CJ551" s="135"/>
      <c r="CK551" s="135"/>
      <c r="CL551" s="135"/>
      <c r="CM551" s="135"/>
      <c r="CN551" s="135"/>
      <c r="CO551" s="135"/>
      <c r="CP551" s="135"/>
      <c r="CQ551" s="135"/>
      <c r="CR551" s="135"/>
      <c r="CS551" s="135"/>
      <c r="CT551" s="135"/>
      <c r="CU551" s="135"/>
      <c r="CV551" s="135"/>
      <c r="CW551" s="135"/>
      <c r="CX551" s="135"/>
      <c r="CY551" s="135"/>
      <c r="CZ551" s="135"/>
      <c r="DA551" s="135"/>
      <c r="DB551" s="135"/>
      <c r="DC551" s="135"/>
      <c r="DD551" s="135"/>
      <c r="DE551" s="135"/>
      <c r="DF551" s="135"/>
      <c r="DG551" s="135"/>
      <c r="DH551" s="135"/>
      <c r="DI551" s="135"/>
      <c r="DJ551" s="135"/>
      <c r="DK551" s="135"/>
      <c r="DL551" s="135"/>
      <c r="DM551" s="135"/>
      <c r="DN551" s="135"/>
      <c r="DO551" s="135"/>
      <c r="DP551" s="135"/>
      <c r="DQ551" s="135"/>
      <c r="DR551" s="135"/>
      <c r="DS551" s="135"/>
      <c r="DT551" s="135"/>
      <c r="DU551" s="135"/>
      <c r="DV551" s="135"/>
      <c r="DW551" s="135"/>
      <c r="DX551" s="135"/>
      <c r="DY551" s="135"/>
      <c r="DZ551" s="135"/>
      <c r="EA551" s="135"/>
      <c r="EB551" s="135"/>
      <c r="EC551" s="135"/>
      <c r="ED551" s="135"/>
      <c r="EE551" s="135"/>
      <c r="EF551" s="135"/>
      <c r="EG551" s="135"/>
      <c r="EH551" s="135"/>
      <c r="EI551" s="135"/>
      <c r="EJ551" s="135"/>
      <c r="EK551" s="135"/>
      <c r="EL551" s="135"/>
      <c r="EM551" s="135"/>
      <c r="EN551" s="135"/>
      <c r="EO551" s="135"/>
      <c r="EP551" s="135"/>
      <c r="EQ551" s="135"/>
      <c r="ER551" s="135"/>
      <c r="ES551" s="135"/>
      <c r="ET551" s="135"/>
      <c r="EU551" s="135"/>
      <c r="EV551" s="135"/>
      <c r="EW551" s="135"/>
    </row>
    <row r="552" spans="2:153" s="141" customFormat="1" x14ac:dyDescent="0.2">
      <c r="B552" s="134"/>
      <c r="C552" s="135"/>
      <c r="D552" s="136"/>
      <c r="E552" s="136"/>
      <c r="F552" s="137"/>
      <c r="G552" s="138"/>
      <c r="H552" s="138"/>
      <c r="I552" s="463"/>
      <c r="J552" s="134"/>
      <c r="K552" s="139"/>
      <c r="L552" s="140"/>
      <c r="N552" s="134"/>
      <c r="O552" s="134"/>
      <c r="P552" s="134"/>
      <c r="Q552" s="134"/>
      <c r="R552" s="140"/>
      <c r="S552" s="135"/>
      <c r="T552" s="135"/>
      <c r="U552" s="135"/>
      <c r="V552" s="135"/>
      <c r="W552" s="135"/>
      <c r="X552" s="135"/>
      <c r="Y552" s="135"/>
      <c r="Z552" s="135"/>
      <c r="AA552" s="135"/>
      <c r="AB552" s="135"/>
      <c r="AC552" s="135"/>
      <c r="AD552" s="135"/>
      <c r="AE552" s="135"/>
      <c r="AF552" s="135"/>
      <c r="AG552" s="135"/>
      <c r="AH552" s="135"/>
      <c r="AI552" s="135"/>
      <c r="AJ552" s="135"/>
      <c r="AK552" s="135"/>
      <c r="AL552" s="135"/>
      <c r="AM552" s="135"/>
      <c r="AN552" s="135"/>
      <c r="AO552" s="135"/>
      <c r="AP552" s="135"/>
      <c r="AQ552" s="135"/>
      <c r="AR552" s="135"/>
      <c r="AS552" s="135"/>
      <c r="AT552" s="135"/>
      <c r="AU552" s="135"/>
      <c r="AV552" s="135"/>
      <c r="AW552" s="135"/>
      <c r="AX552" s="135"/>
      <c r="AY552" s="135"/>
      <c r="AZ552" s="135"/>
      <c r="BA552" s="135"/>
      <c r="BB552" s="135"/>
      <c r="BC552" s="135"/>
      <c r="BD552" s="135"/>
      <c r="BE552" s="135"/>
      <c r="BF552" s="135"/>
      <c r="BG552" s="135"/>
      <c r="BH552" s="135"/>
      <c r="BI552" s="135"/>
      <c r="BJ552" s="135"/>
      <c r="BK552" s="135"/>
      <c r="BL552" s="135"/>
      <c r="BM552" s="135"/>
      <c r="BN552" s="135"/>
      <c r="BO552" s="135"/>
      <c r="BP552" s="135"/>
      <c r="BQ552" s="135"/>
      <c r="BR552" s="135"/>
      <c r="BS552" s="135"/>
      <c r="BT552" s="135"/>
      <c r="BU552" s="135"/>
      <c r="BV552" s="135"/>
      <c r="BW552" s="135"/>
      <c r="BX552" s="135"/>
      <c r="BY552" s="135"/>
      <c r="BZ552" s="135"/>
      <c r="CA552" s="135"/>
      <c r="CB552" s="135"/>
      <c r="CC552" s="135"/>
      <c r="CD552" s="135"/>
      <c r="CE552" s="135"/>
      <c r="CF552" s="135"/>
      <c r="CG552" s="135"/>
      <c r="CH552" s="135"/>
      <c r="CI552" s="135"/>
      <c r="CJ552" s="135"/>
      <c r="CK552" s="135"/>
      <c r="CL552" s="135"/>
      <c r="CM552" s="135"/>
      <c r="CN552" s="135"/>
      <c r="CO552" s="135"/>
      <c r="CP552" s="135"/>
      <c r="CQ552" s="135"/>
      <c r="CR552" s="135"/>
      <c r="CS552" s="135"/>
      <c r="CT552" s="135"/>
      <c r="CU552" s="135"/>
      <c r="CV552" s="135"/>
      <c r="CW552" s="135"/>
      <c r="CX552" s="135"/>
      <c r="CY552" s="135"/>
      <c r="CZ552" s="135"/>
      <c r="DA552" s="135"/>
      <c r="DB552" s="135"/>
      <c r="DC552" s="135"/>
      <c r="DD552" s="135"/>
      <c r="DE552" s="135"/>
      <c r="DF552" s="135"/>
      <c r="DG552" s="135"/>
      <c r="DH552" s="135"/>
      <c r="DI552" s="135"/>
      <c r="DJ552" s="135"/>
      <c r="DK552" s="135"/>
      <c r="DL552" s="135"/>
      <c r="DM552" s="135"/>
      <c r="DN552" s="135"/>
      <c r="DO552" s="135"/>
      <c r="DP552" s="135"/>
      <c r="DQ552" s="135"/>
      <c r="DR552" s="135"/>
      <c r="DS552" s="135"/>
      <c r="DT552" s="135"/>
      <c r="DU552" s="135"/>
      <c r="DV552" s="135"/>
      <c r="DW552" s="135"/>
      <c r="DX552" s="135"/>
      <c r="DY552" s="135"/>
      <c r="DZ552" s="135"/>
      <c r="EA552" s="135"/>
      <c r="EB552" s="135"/>
      <c r="EC552" s="135"/>
      <c r="ED552" s="135"/>
      <c r="EE552" s="135"/>
      <c r="EF552" s="135"/>
      <c r="EG552" s="135"/>
      <c r="EH552" s="135"/>
      <c r="EI552" s="135"/>
      <c r="EJ552" s="135"/>
      <c r="EK552" s="135"/>
      <c r="EL552" s="135"/>
      <c r="EM552" s="135"/>
      <c r="EN552" s="135"/>
      <c r="EO552" s="135"/>
      <c r="EP552" s="135"/>
      <c r="EQ552" s="135"/>
      <c r="ER552" s="135"/>
      <c r="ES552" s="135"/>
      <c r="ET552" s="135"/>
      <c r="EU552" s="135"/>
      <c r="EV552" s="135"/>
      <c r="EW552" s="135"/>
    </row>
    <row r="553" spans="2:153" s="141" customFormat="1" x14ac:dyDescent="0.2">
      <c r="B553" s="134"/>
      <c r="C553" s="135"/>
      <c r="D553" s="136"/>
      <c r="E553" s="136"/>
      <c r="F553" s="137"/>
      <c r="G553" s="138"/>
      <c r="H553" s="138"/>
      <c r="I553" s="463"/>
      <c r="J553" s="134"/>
      <c r="K553" s="139"/>
      <c r="L553" s="140"/>
      <c r="N553" s="134"/>
      <c r="O553" s="134"/>
      <c r="P553" s="134"/>
      <c r="Q553" s="134"/>
      <c r="R553" s="140"/>
      <c r="S553" s="135"/>
      <c r="T553" s="135"/>
      <c r="U553" s="135"/>
      <c r="V553" s="135"/>
      <c r="W553" s="135"/>
      <c r="X553" s="135"/>
      <c r="Y553" s="135"/>
      <c r="Z553" s="135"/>
      <c r="AA553" s="135"/>
      <c r="AB553" s="135"/>
      <c r="AC553" s="135"/>
      <c r="AD553" s="135"/>
      <c r="AE553" s="135"/>
      <c r="AF553" s="135"/>
      <c r="AG553" s="135"/>
      <c r="AH553" s="135"/>
      <c r="AI553" s="135"/>
      <c r="AJ553" s="135"/>
      <c r="AK553" s="135"/>
      <c r="AL553" s="135"/>
      <c r="AM553" s="135"/>
      <c r="AN553" s="135"/>
      <c r="AO553" s="135"/>
      <c r="AP553" s="135"/>
      <c r="AQ553" s="135"/>
      <c r="AR553" s="135"/>
      <c r="AS553" s="135"/>
      <c r="AT553" s="135"/>
      <c r="AU553" s="135"/>
      <c r="AV553" s="135"/>
      <c r="AW553" s="135"/>
      <c r="AX553" s="135"/>
      <c r="AY553" s="135"/>
      <c r="AZ553" s="135"/>
      <c r="BA553" s="135"/>
      <c r="BB553" s="135"/>
      <c r="BC553" s="135"/>
      <c r="BD553" s="135"/>
      <c r="BE553" s="135"/>
      <c r="BF553" s="135"/>
      <c r="BG553" s="135"/>
      <c r="BH553" s="135"/>
      <c r="BI553" s="135"/>
      <c r="BJ553" s="135"/>
      <c r="BK553" s="135"/>
      <c r="BL553" s="135"/>
      <c r="BM553" s="135"/>
      <c r="BN553" s="135"/>
      <c r="BO553" s="135"/>
      <c r="BP553" s="135"/>
      <c r="BQ553" s="135"/>
      <c r="BR553" s="135"/>
      <c r="BS553" s="135"/>
      <c r="BT553" s="135"/>
      <c r="BU553" s="135"/>
      <c r="BV553" s="135"/>
      <c r="BW553" s="135"/>
      <c r="BX553" s="135"/>
      <c r="BY553" s="135"/>
      <c r="BZ553" s="135"/>
      <c r="CA553" s="135"/>
      <c r="CB553" s="135"/>
      <c r="CC553" s="135"/>
      <c r="CD553" s="135"/>
      <c r="CE553" s="135"/>
      <c r="CF553" s="135"/>
      <c r="CG553" s="135"/>
      <c r="CH553" s="135"/>
      <c r="CI553" s="135"/>
      <c r="CJ553" s="135"/>
      <c r="CK553" s="135"/>
      <c r="CL553" s="135"/>
      <c r="CM553" s="135"/>
      <c r="CN553" s="135"/>
      <c r="CO553" s="135"/>
      <c r="CP553" s="135"/>
      <c r="CQ553" s="135"/>
      <c r="CR553" s="135"/>
      <c r="CS553" s="135"/>
      <c r="CT553" s="135"/>
      <c r="CU553" s="135"/>
      <c r="CV553" s="135"/>
      <c r="CW553" s="135"/>
      <c r="CX553" s="135"/>
      <c r="CY553" s="135"/>
      <c r="CZ553" s="135"/>
      <c r="DA553" s="135"/>
      <c r="DB553" s="135"/>
      <c r="DC553" s="135"/>
      <c r="DD553" s="135"/>
      <c r="DE553" s="135"/>
      <c r="DF553" s="135"/>
      <c r="DG553" s="135"/>
      <c r="DH553" s="135"/>
      <c r="DI553" s="135"/>
      <c r="DJ553" s="135"/>
      <c r="DK553" s="135"/>
      <c r="DL553" s="135"/>
      <c r="DM553" s="135"/>
      <c r="DN553" s="135"/>
      <c r="DO553" s="135"/>
      <c r="DP553" s="135"/>
      <c r="DQ553" s="135"/>
      <c r="DR553" s="135"/>
      <c r="DS553" s="135"/>
      <c r="DT553" s="135"/>
      <c r="DU553" s="135"/>
      <c r="DV553" s="135"/>
      <c r="DW553" s="135"/>
      <c r="DX553" s="135"/>
      <c r="DY553" s="135"/>
      <c r="DZ553" s="135"/>
      <c r="EA553" s="135"/>
      <c r="EB553" s="135"/>
      <c r="EC553" s="135"/>
      <c r="ED553" s="135"/>
      <c r="EE553" s="135"/>
      <c r="EF553" s="135"/>
      <c r="EG553" s="135"/>
      <c r="EH553" s="135"/>
      <c r="EI553" s="135"/>
      <c r="EJ553" s="135"/>
      <c r="EK553" s="135"/>
      <c r="EL553" s="135"/>
      <c r="EM553" s="135"/>
      <c r="EN553" s="135"/>
      <c r="EO553" s="135"/>
      <c r="EP553" s="135"/>
      <c r="EQ553" s="135"/>
      <c r="ER553" s="135"/>
      <c r="ES553" s="135"/>
      <c r="ET553" s="135"/>
      <c r="EU553" s="135"/>
      <c r="EV553" s="135"/>
      <c r="EW553" s="135"/>
    </row>
    <row r="554" spans="2:153" s="141" customFormat="1" x14ac:dyDescent="0.2">
      <c r="B554" s="134"/>
      <c r="C554" s="135"/>
      <c r="D554" s="136"/>
      <c r="E554" s="136"/>
      <c r="F554" s="137"/>
      <c r="G554" s="138"/>
      <c r="H554" s="138"/>
      <c r="I554" s="463"/>
      <c r="J554" s="134"/>
      <c r="K554" s="139"/>
      <c r="L554" s="140"/>
      <c r="N554" s="134"/>
      <c r="O554" s="134"/>
      <c r="P554" s="134"/>
      <c r="Q554" s="134"/>
      <c r="R554" s="140"/>
      <c r="S554" s="135"/>
      <c r="T554" s="135"/>
      <c r="U554" s="135"/>
      <c r="V554" s="135"/>
      <c r="W554" s="135"/>
      <c r="X554" s="135"/>
      <c r="Y554" s="135"/>
      <c r="Z554" s="135"/>
      <c r="AA554" s="135"/>
      <c r="AB554" s="135"/>
      <c r="AC554" s="135"/>
      <c r="AD554" s="135"/>
      <c r="AE554" s="135"/>
      <c r="AF554" s="135"/>
      <c r="AG554" s="135"/>
      <c r="AH554" s="135"/>
      <c r="AI554" s="135"/>
      <c r="AJ554" s="135"/>
      <c r="AK554" s="135"/>
      <c r="AL554" s="135"/>
      <c r="AM554" s="135"/>
      <c r="AN554" s="135"/>
      <c r="AO554" s="135"/>
      <c r="AP554" s="135"/>
      <c r="AQ554" s="135"/>
      <c r="AR554" s="135"/>
      <c r="AS554" s="135"/>
      <c r="AT554" s="135"/>
      <c r="AU554" s="135"/>
      <c r="AV554" s="135"/>
      <c r="AW554" s="135"/>
      <c r="AX554" s="135"/>
      <c r="AY554" s="135"/>
      <c r="AZ554" s="135"/>
      <c r="BA554" s="135"/>
      <c r="BB554" s="135"/>
      <c r="BC554" s="135"/>
      <c r="BD554" s="135"/>
      <c r="BE554" s="135"/>
      <c r="BF554" s="135"/>
      <c r="BG554" s="135"/>
      <c r="BH554" s="135"/>
      <c r="BI554" s="135"/>
      <c r="BJ554" s="135"/>
      <c r="BK554" s="135"/>
      <c r="BL554" s="135"/>
      <c r="BM554" s="135"/>
      <c r="BN554" s="135"/>
      <c r="BO554" s="135"/>
      <c r="BP554" s="135"/>
      <c r="BQ554" s="135"/>
      <c r="BR554" s="135"/>
      <c r="BS554" s="135"/>
      <c r="BT554" s="135"/>
      <c r="BU554" s="135"/>
      <c r="BV554" s="135"/>
      <c r="BW554" s="135"/>
      <c r="BX554" s="135"/>
      <c r="BY554" s="135"/>
      <c r="BZ554" s="135"/>
      <c r="CA554" s="135"/>
      <c r="CB554" s="135"/>
      <c r="CC554" s="135"/>
      <c r="CD554" s="135"/>
      <c r="CE554" s="135"/>
      <c r="CF554" s="135"/>
      <c r="CG554" s="135"/>
      <c r="CH554" s="135"/>
      <c r="CI554" s="135"/>
      <c r="CJ554" s="135"/>
      <c r="CK554" s="135"/>
      <c r="CL554" s="135"/>
      <c r="CM554" s="135"/>
      <c r="CN554" s="135"/>
      <c r="CO554" s="135"/>
      <c r="CP554" s="135"/>
      <c r="CQ554" s="135"/>
      <c r="CR554" s="135"/>
      <c r="CS554" s="135"/>
      <c r="CT554" s="135"/>
      <c r="CU554" s="135"/>
      <c r="CV554" s="135"/>
      <c r="CW554" s="135"/>
      <c r="CX554" s="135"/>
      <c r="CY554" s="135"/>
      <c r="CZ554" s="135"/>
      <c r="DA554" s="135"/>
      <c r="DB554" s="135"/>
      <c r="DC554" s="135"/>
      <c r="DD554" s="135"/>
      <c r="DE554" s="135"/>
      <c r="DF554" s="135"/>
      <c r="DG554" s="135"/>
      <c r="DH554" s="135"/>
      <c r="DI554" s="135"/>
      <c r="DJ554" s="135"/>
      <c r="DK554" s="135"/>
      <c r="DL554" s="135"/>
      <c r="DM554" s="135"/>
      <c r="DN554" s="135"/>
      <c r="DO554" s="135"/>
      <c r="DP554" s="135"/>
      <c r="DQ554" s="135"/>
      <c r="DR554" s="135"/>
      <c r="DS554" s="135"/>
      <c r="DT554" s="135"/>
      <c r="DU554" s="135"/>
      <c r="DV554" s="135"/>
      <c r="DW554" s="135"/>
      <c r="DX554" s="135"/>
      <c r="DY554" s="135"/>
      <c r="DZ554" s="135"/>
      <c r="EA554" s="135"/>
      <c r="EB554" s="135"/>
      <c r="EC554" s="135"/>
      <c r="ED554" s="135"/>
      <c r="EE554" s="135"/>
      <c r="EF554" s="135"/>
      <c r="EG554" s="135"/>
      <c r="EH554" s="135"/>
      <c r="EI554" s="135"/>
      <c r="EJ554" s="135"/>
      <c r="EK554" s="135"/>
      <c r="EL554" s="135"/>
      <c r="EM554" s="135"/>
      <c r="EN554" s="135"/>
      <c r="EO554" s="135"/>
      <c r="EP554" s="135"/>
      <c r="EQ554" s="135"/>
      <c r="ER554" s="135"/>
      <c r="ES554" s="135"/>
      <c r="ET554" s="135"/>
      <c r="EU554" s="135"/>
      <c r="EV554" s="135"/>
      <c r="EW554" s="135"/>
    </row>
    <row r="555" spans="2:153" s="141" customFormat="1" x14ac:dyDescent="0.2">
      <c r="B555" s="134"/>
      <c r="C555" s="135"/>
      <c r="D555" s="136"/>
      <c r="E555" s="136"/>
      <c r="F555" s="137"/>
      <c r="G555" s="138"/>
      <c r="H555" s="138"/>
      <c r="I555" s="463"/>
      <c r="J555" s="134"/>
      <c r="K555" s="139"/>
      <c r="L555" s="140"/>
      <c r="N555" s="134"/>
      <c r="O555" s="134"/>
      <c r="P555" s="134"/>
      <c r="Q555" s="134"/>
      <c r="R555" s="140"/>
      <c r="S555" s="135"/>
      <c r="T555" s="135"/>
      <c r="U555" s="135"/>
      <c r="V555" s="135"/>
      <c r="W555" s="135"/>
      <c r="X555" s="135"/>
      <c r="Y555" s="135"/>
      <c r="Z555" s="135"/>
      <c r="AA555" s="135"/>
      <c r="AB555" s="135"/>
      <c r="AC555" s="135"/>
      <c r="AD555" s="135"/>
      <c r="AE555" s="135"/>
      <c r="AF555" s="135"/>
      <c r="AG555" s="135"/>
      <c r="AH555" s="135"/>
      <c r="AI555" s="135"/>
      <c r="AJ555" s="135"/>
      <c r="AK555" s="135"/>
      <c r="AL555" s="135"/>
      <c r="AM555" s="135"/>
      <c r="AN555" s="135"/>
      <c r="AO555" s="135"/>
      <c r="AP555" s="135"/>
      <c r="AQ555" s="135"/>
      <c r="AR555" s="135"/>
      <c r="AS555" s="135"/>
      <c r="AT555" s="135"/>
      <c r="AU555" s="135"/>
      <c r="AV555" s="135"/>
      <c r="AW555" s="135"/>
      <c r="AX555" s="135"/>
      <c r="AY555" s="135"/>
      <c r="AZ555" s="135"/>
      <c r="BA555" s="135"/>
      <c r="BB555" s="135"/>
      <c r="BC555" s="135"/>
      <c r="BD555" s="135"/>
      <c r="BE555" s="135"/>
      <c r="BF555" s="135"/>
      <c r="BG555" s="135"/>
      <c r="BH555" s="135"/>
      <c r="BI555" s="135"/>
      <c r="BJ555" s="135"/>
      <c r="BK555" s="135"/>
      <c r="BL555" s="135"/>
      <c r="BM555" s="135"/>
      <c r="BN555" s="135"/>
      <c r="BO555" s="135"/>
      <c r="BP555" s="135"/>
      <c r="BQ555" s="135"/>
      <c r="BR555" s="135"/>
      <c r="BS555" s="135"/>
      <c r="BT555" s="135"/>
      <c r="BU555" s="135"/>
      <c r="BV555" s="135"/>
      <c r="BW555" s="135"/>
      <c r="BX555" s="135"/>
      <c r="BY555" s="135"/>
      <c r="BZ555" s="135"/>
      <c r="CA555" s="135"/>
      <c r="CB555" s="135"/>
      <c r="CC555" s="135"/>
      <c r="CD555" s="135"/>
      <c r="CE555" s="135"/>
      <c r="CF555" s="135"/>
      <c r="CG555" s="135"/>
      <c r="CH555" s="135"/>
      <c r="CI555" s="135"/>
      <c r="CJ555" s="135"/>
      <c r="CK555" s="135"/>
      <c r="CL555" s="135"/>
      <c r="CM555" s="135"/>
      <c r="CN555" s="135"/>
      <c r="CO555" s="135"/>
      <c r="CP555" s="135"/>
      <c r="CQ555" s="135"/>
      <c r="CR555" s="135"/>
      <c r="CS555" s="135"/>
      <c r="CT555" s="135"/>
      <c r="CU555" s="135"/>
      <c r="CV555" s="135"/>
      <c r="CW555" s="135"/>
      <c r="CX555" s="135"/>
      <c r="CY555" s="135"/>
      <c r="CZ555" s="135"/>
      <c r="DA555" s="135"/>
      <c r="DB555" s="135"/>
      <c r="DC555" s="135"/>
      <c r="DD555" s="135"/>
      <c r="DE555" s="135"/>
      <c r="DF555" s="135"/>
      <c r="DG555" s="135"/>
      <c r="DH555" s="135"/>
      <c r="DI555" s="135"/>
      <c r="DJ555" s="135"/>
      <c r="DK555" s="135"/>
      <c r="DL555" s="135"/>
      <c r="DM555" s="135"/>
      <c r="DN555" s="135"/>
      <c r="DO555" s="135"/>
      <c r="DP555" s="135"/>
      <c r="DQ555" s="135"/>
      <c r="DR555" s="135"/>
      <c r="DS555" s="135"/>
      <c r="DT555" s="135"/>
      <c r="DU555" s="135"/>
      <c r="DV555" s="135"/>
      <c r="DW555" s="135"/>
      <c r="DX555" s="135"/>
      <c r="DY555" s="135"/>
      <c r="DZ555" s="135"/>
      <c r="EA555" s="135"/>
      <c r="EB555" s="135"/>
      <c r="EC555" s="135"/>
      <c r="ED555" s="135"/>
      <c r="EE555" s="135"/>
      <c r="EF555" s="135"/>
      <c r="EG555" s="135"/>
      <c r="EH555" s="135"/>
      <c r="EI555" s="135"/>
      <c r="EJ555" s="135"/>
      <c r="EK555" s="135"/>
      <c r="EL555" s="135"/>
      <c r="EM555" s="135"/>
      <c r="EN555" s="135"/>
      <c r="EO555" s="135"/>
      <c r="EP555" s="135"/>
      <c r="EQ555" s="135"/>
      <c r="ER555" s="135"/>
      <c r="ES555" s="135"/>
      <c r="ET555" s="135"/>
      <c r="EU555" s="135"/>
      <c r="EV555" s="135"/>
      <c r="EW555" s="135"/>
    </row>
    <row r="556" spans="2:153" s="141" customFormat="1" x14ac:dyDescent="0.2">
      <c r="B556" s="134"/>
      <c r="C556" s="135"/>
      <c r="D556" s="136"/>
      <c r="E556" s="136"/>
      <c r="F556" s="137"/>
      <c r="G556" s="138"/>
      <c r="H556" s="138"/>
      <c r="I556" s="463"/>
      <c r="J556" s="134"/>
      <c r="K556" s="139"/>
      <c r="L556" s="140"/>
      <c r="N556" s="134"/>
      <c r="O556" s="134"/>
      <c r="P556" s="134"/>
      <c r="Q556" s="134"/>
      <c r="R556" s="140"/>
      <c r="S556" s="135"/>
      <c r="T556" s="135"/>
      <c r="U556" s="135"/>
      <c r="V556" s="135"/>
      <c r="W556" s="135"/>
      <c r="X556" s="135"/>
      <c r="Y556" s="135"/>
      <c r="Z556" s="135"/>
      <c r="AA556" s="135"/>
      <c r="AB556" s="135"/>
      <c r="AC556" s="135"/>
      <c r="AD556" s="135"/>
      <c r="AE556" s="135"/>
      <c r="AF556" s="135"/>
      <c r="AG556" s="135"/>
      <c r="AH556" s="135"/>
      <c r="AI556" s="135"/>
      <c r="AJ556" s="135"/>
      <c r="AK556" s="135"/>
      <c r="AL556" s="135"/>
      <c r="AM556" s="135"/>
      <c r="AN556" s="135"/>
      <c r="AO556" s="135"/>
      <c r="AP556" s="135"/>
      <c r="AQ556" s="135"/>
      <c r="AR556" s="135"/>
      <c r="AS556" s="135"/>
      <c r="AT556" s="135"/>
      <c r="AU556" s="135"/>
      <c r="AV556" s="135"/>
      <c r="AW556" s="135"/>
      <c r="AX556" s="135"/>
      <c r="AY556" s="135"/>
      <c r="AZ556" s="135"/>
      <c r="BA556" s="135"/>
      <c r="BB556" s="135"/>
      <c r="BC556" s="135"/>
      <c r="BD556" s="135"/>
      <c r="BE556" s="135"/>
      <c r="BF556" s="135"/>
      <c r="BG556" s="135"/>
      <c r="BH556" s="135"/>
      <c r="BI556" s="135"/>
      <c r="BJ556" s="135"/>
      <c r="BK556" s="135"/>
      <c r="BL556" s="135"/>
      <c r="BM556" s="135"/>
      <c r="BN556" s="135"/>
      <c r="BO556" s="135"/>
      <c r="BP556" s="135"/>
      <c r="BQ556" s="135"/>
      <c r="BR556" s="135"/>
      <c r="BS556" s="135"/>
      <c r="BT556" s="135"/>
      <c r="BU556" s="135"/>
      <c r="BV556" s="135"/>
      <c r="BW556" s="135"/>
      <c r="BX556" s="135"/>
      <c r="BY556" s="135"/>
      <c r="BZ556" s="135"/>
      <c r="CA556" s="135"/>
      <c r="CB556" s="135"/>
      <c r="CC556" s="135"/>
      <c r="CD556" s="135"/>
      <c r="CE556" s="135"/>
      <c r="CF556" s="135"/>
      <c r="CG556" s="135"/>
      <c r="CH556" s="135"/>
      <c r="CI556" s="135"/>
      <c r="CJ556" s="135"/>
      <c r="CK556" s="135"/>
      <c r="CL556" s="135"/>
      <c r="CM556" s="135"/>
      <c r="CN556" s="135"/>
      <c r="CO556" s="135"/>
      <c r="CP556" s="135"/>
      <c r="CQ556" s="135"/>
      <c r="CR556" s="135"/>
      <c r="CS556" s="135"/>
      <c r="CT556" s="135"/>
      <c r="CU556" s="135"/>
      <c r="CV556" s="135"/>
      <c r="CW556" s="135"/>
      <c r="CX556" s="135"/>
      <c r="CY556" s="135"/>
      <c r="CZ556" s="135"/>
      <c r="DA556" s="135"/>
      <c r="DB556" s="135"/>
      <c r="DC556" s="135"/>
      <c r="DD556" s="135"/>
      <c r="DE556" s="135"/>
      <c r="DF556" s="135"/>
      <c r="DG556" s="135"/>
      <c r="DH556" s="135"/>
      <c r="DI556" s="135"/>
      <c r="DJ556" s="135"/>
      <c r="DK556" s="135"/>
      <c r="DL556" s="135"/>
      <c r="DM556" s="135"/>
      <c r="DN556" s="135"/>
      <c r="DO556" s="135"/>
      <c r="DP556" s="135"/>
      <c r="DQ556" s="135"/>
      <c r="DR556" s="135"/>
      <c r="DS556" s="135"/>
      <c r="DT556" s="135"/>
      <c r="DU556" s="135"/>
      <c r="DV556" s="135"/>
      <c r="DW556" s="135"/>
      <c r="DX556" s="135"/>
      <c r="DY556" s="135"/>
      <c r="DZ556" s="135"/>
      <c r="EA556" s="135"/>
      <c r="EB556" s="135"/>
      <c r="EC556" s="135"/>
      <c r="ED556" s="135"/>
      <c r="EE556" s="135"/>
      <c r="EF556" s="135"/>
      <c r="EG556" s="135"/>
      <c r="EH556" s="135"/>
      <c r="EI556" s="135"/>
      <c r="EJ556" s="135"/>
      <c r="EK556" s="135"/>
      <c r="EL556" s="135"/>
      <c r="EM556" s="135"/>
      <c r="EN556" s="135"/>
      <c r="EO556" s="135"/>
      <c r="EP556" s="135"/>
      <c r="EQ556" s="135"/>
      <c r="ER556" s="135"/>
      <c r="ES556" s="135"/>
      <c r="ET556" s="135"/>
      <c r="EU556" s="135"/>
      <c r="EV556" s="135"/>
      <c r="EW556" s="135"/>
    </row>
    <row r="557" spans="2:153" s="141" customFormat="1" x14ac:dyDescent="0.2">
      <c r="B557" s="134"/>
      <c r="C557" s="135"/>
      <c r="D557" s="136"/>
      <c r="E557" s="136"/>
      <c r="F557" s="137"/>
      <c r="G557" s="138"/>
      <c r="H557" s="138"/>
      <c r="I557" s="463"/>
      <c r="J557" s="134"/>
      <c r="K557" s="139"/>
      <c r="L557" s="140"/>
      <c r="N557" s="134"/>
      <c r="O557" s="134"/>
      <c r="P557" s="134"/>
      <c r="Q557" s="134"/>
      <c r="R557" s="140"/>
      <c r="S557" s="135"/>
      <c r="T557" s="135"/>
      <c r="U557" s="135"/>
      <c r="V557" s="135"/>
      <c r="W557" s="135"/>
      <c r="X557" s="135"/>
      <c r="Y557" s="135"/>
      <c r="Z557" s="135"/>
      <c r="AA557" s="135"/>
      <c r="AB557" s="135"/>
      <c r="AC557" s="135"/>
      <c r="AD557" s="135"/>
      <c r="AE557" s="135"/>
      <c r="AF557" s="135"/>
      <c r="AG557" s="135"/>
      <c r="AH557" s="135"/>
      <c r="AI557" s="135"/>
      <c r="AJ557" s="135"/>
      <c r="AK557" s="135"/>
      <c r="AL557" s="135"/>
      <c r="AM557" s="135"/>
      <c r="AN557" s="135"/>
      <c r="AO557" s="135"/>
      <c r="AP557" s="135"/>
      <c r="AQ557" s="135"/>
      <c r="AR557" s="135"/>
      <c r="AS557" s="135"/>
      <c r="AT557" s="135"/>
      <c r="AU557" s="135"/>
      <c r="AV557" s="135"/>
      <c r="AW557" s="135"/>
      <c r="AX557" s="135"/>
      <c r="AY557" s="135"/>
      <c r="AZ557" s="135"/>
      <c r="BA557" s="135"/>
      <c r="BB557" s="135"/>
      <c r="BC557" s="135"/>
      <c r="BD557" s="135"/>
      <c r="BE557" s="135"/>
      <c r="BF557" s="135"/>
      <c r="BG557" s="135"/>
      <c r="BH557" s="135"/>
      <c r="BI557" s="135"/>
      <c r="BJ557" s="135"/>
      <c r="BK557" s="135"/>
      <c r="BL557" s="135"/>
      <c r="BM557" s="135"/>
      <c r="BN557" s="135"/>
      <c r="BO557" s="135"/>
      <c r="BP557" s="135"/>
      <c r="BQ557" s="135"/>
      <c r="BR557" s="135"/>
      <c r="BS557" s="135"/>
      <c r="BT557" s="135"/>
      <c r="BU557" s="135"/>
      <c r="BV557" s="135"/>
      <c r="BW557" s="135"/>
      <c r="BX557" s="135"/>
      <c r="BY557" s="135"/>
      <c r="BZ557" s="135"/>
      <c r="CA557" s="135"/>
      <c r="CB557" s="135"/>
      <c r="CC557" s="135"/>
      <c r="CD557" s="135"/>
      <c r="CE557" s="135"/>
      <c r="CF557" s="135"/>
      <c r="CG557" s="135"/>
      <c r="CH557" s="135"/>
      <c r="CI557" s="135"/>
      <c r="CJ557" s="135"/>
      <c r="CK557" s="135"/>
      <c r="CL557" s="135"/>
      <c r="CM557" s="135"/>
      <c r="CN557" s="135"/>
      <c r="CO557" s="135"/>
      <c r="CP557" s="135"/>
      <c r="CQ557" s="135"/>
      <c r="CR557" s="135"/>
      <c r="CS557" s="135"/>
      <c r="CT557" s="135"/>
      <c r="CU557" s="135"/>
      <c r="CV557" s="135"/>
      <c r="CW557" s="135"/>
      <c r="CX557" s="135"/>
      <c r="CY557" s="135"/>
      <c r="CZ557" s="135"/>
      <c r="DA557" s="135"/>
      <c r="DB557" s="135"/>
      <c r="DC557" s="135"/>
      <c r="DD557" s="135"/>
      <c r="DE557" s="135"/>
      <c r="DF557" s="135"/>
      <c r="DG557" s="135"/>
      <c r="DH557" s="135"/>
      <c r="DI557" s="135"/>
      <c r="DJ557" s="135"/>
      <c r="DK557" s="135"/>
      <c r="DL557" s="135"/>
      <c r="DM557" s="135"/>
      <c r="DN557" s="135"/>
      <c r="DO557" s="135"/>
      <c r="DP557" s="135"/>
      <c r="DQ557" s="135"/>
      <c r="DR557" s="135"/>
      <c r="DS557" s="135"/>
      <c r="DT557" s="135"/>
      <c r="DU557" s="135"/>
      <c r="DV557" s="135"/>
      <c r="DW557" s="135"/>
      <c r="DX557" s="135"/>
      <c r="DY557" s="135"/>
      <c r="DZ557" s="135"/>
      <c r="EA557" s="135"/>
      <c r="EB557" s="135"/>
      <c r="EC557" s="135"/>
      <c r="ED557" s="135"/>
      <c r="EE557" s="135"/>
      <c r="EF557" s="135"/>
      <c r="EG557" s="135"/>
      <c r="EH557" s="135"/>
      <c r="EI557" s="135"/>
      <c r="EJ557" s="135"/>
      <c r="EK557" s="135"/>
      <c r="EL557" s="135"/>
      <c r="EM557" s="135"/>
      <c r="EN557" s="135"/>
      <c r="EO557" s="135"/>
      <c r="EP557" s="135"/>
      <c r="EQ557" s="135"/>
      <c r="ER557" s="135"/>
      <c r="ES557" s="135"/>
      <c r="ET557" s="135"/>
      <c r="EU557" s="135"/>
      <c r="EV557" s="135"/>
      <c r="EW557" s="135"/>
    </row>
    <row r="558" spans="2:153" s="141" customFormat="1" x14ac:dyDescent="0.2">
      <c r="B558" s="134"/>
      <c r="C558" s="135"/>
      <c r="D558" s="136"/>
      <c r="E558" s="136"/>
      <c r="F558" s="137"/>
      <c r="G558" s="138"/>
      <c r="H558" s="138"/>
      <c r="I558" s="463"/>
      <c r="J558" s="134"/>
      <c r="K558" s="139"/>
      <c r="L558" s="140"/>
      <c r="N558" s="134"/>
      <c r="O558" s="134"/>
      <c r="P558" s="134"/>
      <c r="Q558" s="134"/>
      <c r="R558" s="140"/>
      <c r="S558" s="135"/>
      <c r="T558" s="135"/>
      <c r="U558" s="135"/>
      <c r="V558" s="135"/>
      <c r="W558" s="135"/>
      <c r="X558" s="135"/>
      <c r="Y558" s="135"/>
      <c r="Z558" s="135"/>
      <c r="AA558" s="135"/>
      <c r="AB558" s="135"/>
      <c r="AC558" s="135"/>
      <c r="AD558" s="135"/>
      <c r="AE558" s="135"/>
      <c r="AF558" s="135"/>
      <c r="AG558" s="135"/>
      <c r="AH558" s="135"/>
      <c r="AI558" s="135"/>
      <c r="AJ558" s="135"/>
      <c r="AK558" s="135"/>
      <c r="AL558" s="135"/>
      <c r="AM558" s="135"/>
      <c r="AN558" s="135"/>
      <c r="AO558" s="135"/>
      <c r="AP558" s="135"/>
      <c r="AQ558" s="135"/>
      <c r="AR558" s="135"/>
      <c r="AS558" s="135"/>
      <c r="AT558" s="135"/>
      <c r="AU558" s="135"/>
      <c r="AV558" s="135"/>
      <c r="AW558" s="135"/>
      <c r="AX558" s="135"/>
      <c r="AY558" s="135"/>
      <c r="AZ558" s="135"/>
      <c r="BA558" s="135"/>
      <c r="BB558" s="135"/>
      <c r="BC558" s="135"/>
      <c r="BD558" s="135"/>
      <c r="BE558" s="135"/>
      <c r="BF558" s="135"/>
      <c r="BG558" s="135"/>
      <c r="BH558" s="135"/>
      <c r="BI558" s="135"/>
      <c r="BJ558" s="135"/>
      <c r="BK558" s="135"/>
      <c r="BL558" s="135"/>
      <c r="BM558" s="135"/>
      <c r="BN558" s="135"/>
      <c r="BO558" s="135"/>
      <c r="BP558" s="135"/>
      <c r="BQ558" s="135"/>
      <c r="BR558" s="135"/>
      <c r="BS558" s="135"/>
      <c r="BT558" s="135"/>
      <c r="BU558" s="135"/>
      <c r="BV558" s="135"/>
      <c r="BW558" s="135"/>
      <c r="BX558" s="135"/>
      <c r="BY558" s="135"/>
      <c r="BZ558" s="135"/>
      <c r="CA558" s="135"/>
      <c r="CB558" s="135"/>
      <c r="CC558" s="135"/>
      <c r="CD558" s="135"/>
      <c r="CE558" s="135"/>
      <c r="CF558" s="135"/>
      <c r="CG558" s="135"/>
      <c r="CH558" s="135"/>
      <c r="CI558" s="135"/>
      <c r="CJ558" s="135"/>
      <c r="CK558" s="135"/>
      <c r="CL558" s="135"/>
      <c r="CM558" s="135"/>
      <c r="CN558" s="135"/>
      <c r="CO558" s="135"/>
      <c r="CP558" s="135"/>
      <c r="CQ558" s="135"/>
      <c r="CR558" s="135"/>
      <c r="CS558" s="135"/>
      <c r="CT558" s="135"/>
      <c r="CU558" s="135"/>
      <c r="CV558" s="135"/>
      <c r="CW558" s="135"/>
      <c r="CX558" s="135"/>
      <c r="CY558" s="135"/>
      <c r="CZ558" s="135"/>
      <c r="DA558" s="135"/>
      <c r="DB558" s="135"/>
      <c r="DC558" s="135"/>
      <c r="DD558" s="135"/>
      <c r="DE558" s="135"/>
      <c r="DF558" s="135"/>
      <c r="DG558" s="135"/>
      <c r="DH558" s="135"/>
      <c r="DI558" s="135"/>
      <c r="DJ558" s="135"/>
      <c r="DK558" s="135"/>
      <c r="DL558" s="135"/>
      <c r="DM558" s="135"/>
      <c r="DN558" s="135"/>
      <c r="DO558" s="135"/>
      <c r="DP558" s="135"/>
      <c r="DQ558" s="135"/>
      <c r="DR558" s="135"/>
      <c r="DS558" s="135"/>
      <c r="DT558" s="135"/>
      <c r="DU558" s="135"/>
      <c r="DV558" s="135"/>
      <c r="DW558" s="135"/>
      <c r="DX558" s="135"/>
      <c r="DY558" s="135"/>
      <c r="DZ558" s="135"/>
      <c r="EA558" s="135"/>
      <c r="EB558" s="135"/>
      <c r="EC558" s="135"/>
      <c r="ED558" s="135"/>
      <c r="EE558" s="135"/>
      <c r="EF558" s="135"/>
      <c r="EG558" s="135"/>
      <c r="EH558" s="135"/>
      <c r="EI558" s="135"/>
      <c r="EJ558" s="135"/>
      <c r="EK558" s="135"/>
      <c r="EL558" s="135"/>
      <c r="EM558" s="135"/>
      <c r="EN558" s="135"/>
      <c r="EO558" s="135"/>
      <c r="EP558" s="135"/>
      <c r="EQ558" s="135"/>
      <c r="ER558" s="135"/>
      <c r="ES558" s="135"/>
      <c r="ET558" s="135"/>
      <c r="EU558" s="135"/>
      <c r="EV558" s="135"/>
      <c r="EW558" s="135"/>
    </row>
    <row r="559" spans="2:153" s="141" customFormat="1" x14ac:dyDescent="0.2">
      <c r="B559" s="134"/>
      <c r="C559" s="135"/>
      <c r="D559" s="136"/>
      <c r="E559" s="136"/>
      <c r="F559" s="137"/>
      <c r="G559" s="138"/>
      <c r="H559" s="138"/>
      <c r="I559" s="463"/>
      <c r="J559" s="134"/>
      <c r="K559" s="139"/>
      <c r="L559" s="140"/>
      <c r="N559" s="134"/>
      <c r="O559" s="134"/>
      <c r="P559" s="134"/>
      <c r="Q559" s="134"/>
      <c r="R559" s="140"/>
      <c r="S559" s="135"/>
      <c r="T559" s="135"/>
      <c r="U559" s="135"/>
      <c r="V559" s="135"/>
      <c r="W559" s="135"/>
      <c r="X559" s="135"/>
      <c r="Y559" s="135"/>
      <c r="Z559" s="135"/>
      <c r="AA559" s="135"/>
      <c r="AB559" s="135"/>
      <c r="AC559" s="135"/>
      <c r="AD559" s="135"/>
      <c r="AE559" s="135"/>
      <c r="AF559" s="135"/>
      <c r="AG559" s="135"/>
      <c r="AH559" s="135"/>
      <c r="AI559" s="135"/>
      <c r="AJ559" s="135"/>
      <c r="AK559" s="135"/>
      <c r="AL559" s="135"/>
      <c r="AM559" s="135"/>
      <c r="AN559" s="135"/>
      <c r="AO559" s="135"/>
      <c r="AP559" s="135"/>
      <c r="AQ559" s="135"/>
      <c r="AR559" s="135"/>
      <c r="AS559" s="135"/>
      <c r="AT559" s="135"/>
      <c r="AU559" s="135"/>
      <c r="AV559" s="135"/>
      <c r="AW559" s="135"/>
      <c r="AX559" s="135"/>
      <c r="AY559" s="135"/>
      <c r="AZ559" s="135"/>
      <c r="BA559" s="135"/>
      <c r="BB559" s="135"/>
      <c r="BC559" s="135"/>
      <c r="BD559" s="135"/>
      <c r="BE559" s="135"/>
      <c r="BF559" s="135"/>
      <c r="BG559" s="135"/>
      <c r="BH559" s="135"/>
      <c r="BI559" s="135"/>
      <c r="BJ559" s="135"/>
      <c r="BK559" s="135"/>
      <c r="BL559" s="135"/>
      <c r="BM559" s="135"/>
      <c r="BN559" s="135"/>
      <c r="BO559" s="135"/>
      <c r="BP559" s="135"/>
      <c r="BQ559" s="135"/>
      <c r="BR559" s="135"/>
      <c r="BS559" s="135"/>
      <c r="BT559" s="135"/>
      <c r="BU559" s="135"/>
      <c r="BV559" s="135"/>
      <c r="BW559" s="135"/>
      <c r="BX559" s="135"/>
      <c r="BY559" s="135"/>
      <c r="BZ559" s="135"/>
      <c r="CA559" s="135"/>
      <c r="CB559" s="135"/>
      <c r="CC559" s="135"/>
      <c r="CD559" s="135"/>
      <c r="CE559" s="135"/>
      <c r="CF559" s="135"/>
      <c r="CG559" s="135"/>
      <c r="CH559" s="135"/>
      <c r="CI559" s="135"/>
      <c r="CJ559" s="135"/>
      <c r="CK559" s="135"/>
      <c r="CL559" s="135"/>
      <c r="CM559" s="135"/>
      <c r="CN559" s="135"/>
      <c r="CO559" s="135"/>
      <c r="CP559" s="135"/>
      <c r="CQ559" s="135"/>
      <c r="CR559" s="135"/>
      <c r="CS559" s="135"/>
      <c r="CT559" s="135"/>
      <c r="CU559" s="135"/>
      <c r="CV559" s="135"/>
      <c r="CW559" s="135"/>
      <c r="CX559" s="135"/>
      <c r="CY559" s="135"/>
      <c r="CZ559" s="135"/>
      <c r="DA559" s="135"/>
      <c r="DB559" s="135"/>
      <c r="DC559" s="135"/>
      <c r="DD559" s="135"/>
      <c r="DE559" s="135"/>
      <c r="DF559" s="135"/>
      <c r="DG559" s="135"/>
      <c r="DH559" s="135"/>
      <c r="DI559" s="135"/>
      <c r="DJ559" s="135"/>
      <c r="DK559" s="135"/>
      <c r="DL559" s="135"/>
      <c r="DM559" s="135"/>
      <c r="DN559" s="135"/>
      <c r="DO559" s="135"/>
      <c r="DP559" s="135"/>
      <c r="DQ559" s="135"/>
      <c r="DR559" s="135"/>
      <c r="DS559" s="135"/>
      <c r="DT559" s="135"/>
      <c r="DU559" s="135"/>
      <c r="DV559" s="135"/>
      <c r="DW559" s="135"/>
      <c r="DX559" s="135"/>
      <c r="DY559" s="135"/>
      <c r="DZ559" s="135"/>
      <c r="EA559" s="135"/>
      <c r="EB559" s="135"/>
      <c r="EC559" s="135"/>
      <c r="ED559" s="135"/>
      <c r="EE559" s="135"/>
      <c r="EF559" s="135"/>
      <c r="EG559" s="135"/>
      <c r="EH559" s="135"/>
      <c r="EI559" s="135"/>
      <c r="EJ559" s="135"/>
      <c r="EK559" s="135"/>
      <c r="EL559" s="135"/>
      <c r="EM559" s="135"/>
      <c r="EN559" s="135"/>
      <c r="EO559" s="135"/>
      <c r="EP559" s="135"/>
      <c r="EQ559" s="135"/>
      <c r="ER559" s="135"/>
      <c r="ES559" s="135"/>
      <c r="ET559" s="135"/>
      <c r="EU559" s="135"/>
      <c r="EV559" s="135"/>
      <c r="EW559" s="135"/>
    </row>
    <row r="560" spans="2:153" s="141" customFormat="1" x14ac:dyDescent="0.2">
      <c r="B560" s="134"/>
      <c r="C560" s="135"/>
      <c r="D560" s="136"/>
      <c r="E560" s="136"/>
      <c r="F560" s="137"/>
      <c r="G560" s="138"/>
      <c r="H560" s="138"/>
      <c r="I560" s="463"/>
      <c r="J560" s="134"/>
      <c r="K560" s="139"/>
      <c r="L560" s="140"/>
      <c r="N560" s="134"/>
      <c r="O560" s="134"/>
      <c r="P560" s="134"/>
      <c r="Q560" s="134"/>
      <c r="R560" s="140"/>
      <c r="S560" s="135"/>
      <c r="T560" s="135"/>
      <c r="U560" s="135"/>
      <c r="V560" s="135"/>
      <c r="W560" s="135"/>
      <c r="X560" s="135"/>
      <c r="Y560" s="135"/>
      <c r="Z560" s="135"/>
      <c r="AA560" s="135"/>
      <c r="AB560" s="135"/>
      <c r="AC560" s="135"/>
      <c r="AD560" s="135"/>
      <c r="AE560" s="135"/>
      <c r="AF560" s="135"/>
      <c r="AG560" s="135"/>
      <c r="AH560" s="135"/>
      <c r="AI560" s="135"/>
      <c r="AJ560" s="135"/>
      <c r="AK560" s="135"/>
      <c r="AL560" s="135"/>
      <c r="AM560" s="135"/>
      <c r="AN560" s="135"/>
      <c r="AO560" s="135"/>
      <c r="AP560" s="135"/>
      <c r="AQ560" s="135"/>
      <c r="AR560" s="135"/>
      <c r="AS560" s="135"/>
      <c r="AT560" s="135"/>
      <c r="AU560" s="135"/>
      <c r="AV560" s="135"/>
      <c r="AW560" s="135"/>
      <c r="AX560" s="135"/>
      <c r="AY560" s="135"/>
      <c r="AZ560" s="135"/>
      <c r="BA560" s="135"/>
      <c r="BB560" s="135"/>
      <c r="BC560" s="135"/>
      <c r="BD560" s="135"/>
      <c r="BE560" s="135"/>
      <c r="BF560" s="135"/>
      <c r="BG560" s="135"/>
      <c r="BH560" s="135"/>
      <c r="BI560" s="135"/>
      <c r="BJ560" s="135"/>
      <c r="BK560" s="135"/>
      <c r="BL560" s="135"/>
      <c r="BM560" s="135"/>
      <c r="BN560" s="135"/>
      <c r="BO560" s="135"/>
      <c r="BP560" s="135"/>
      <c r="BQ560" s="135"/>
      <c r="BR560" s="135"/>
      <c r="BS560" s="135"/>
      <c r="BT560" s="135"/>
      <c r="BU560" s="135"/>
      <c r="BV560" s="135"/>
      <c r="BW560" s="135"/>
      <c r="BX560" s="135"/>
      <c r="BY560" s="135"/>
      <c r="BZ560" s="135"/>
      <c r="CA560" s="135"/>
      <c r="CB560" s="135"/>
      <c r="CC560" s="135"/>
      <c r="CD560" s="135"/>
      <c r="CE560" s="135"/>
      <c r="CF560" s="135"/>
      <c r="CG560" s="135"/>
      <c r="CH560" s="135"/>
      <c r="CI560" s="135"/>
      <c r="CJ560" s="135"/>
      <c r="CK560" s="135"/>
      <c r="CL560" s="135"/>
      <c r="CM560" s="135"/>
      <c r="CN560" s="135"/>
      <c r="CO560" s="135"/>
      <c r="CP560" s="135"/>
      <c r="CQ560" s="135"/>
      <c r="CR560" s="135"/>
      <c r="CS560" s="135"/>
      <c r="CT560" s="135"/>
      <c r="CU560" s="135"/>
      <c r="CV560" s="135"/>
      <c r="CW560" s="135"/>
      <c r="CX560" s="135"/>
      <c r="CY560" s="135"/>
      <c r="CZ560" s="135"/>
      <c r="DA560" s="135"/>
      <c r="DB560" s="135"/>
      <c r="DC560" s="135"/>
      <c r="DD560" s="135"/>
      <c r="DE560" s="135"/>
      <c r="DF560" s="135"/>
      <c r="DG560" s="135"/>
      <c r="DH560" s="135"/>
      <c r="DI560" s="135"/>
      <c r="DJ560" s="135"/>
      <c r="DK560" s="135"/>
      <c r="DL560" s="135"/>
      <c r="DM560" s="135"/>
      <c r="DN560" s="135"/>
      <c r="DO560" s="135"/>
      <c r="DP560" s="135"/>
      <c r="DQ560" s="135"/>
      <c r="DR560" s="135"/>
      <c r="DS560" s="135"/>
      <c r="DT560" s="135"/>
      <c r="DU560" s="135"/>
      <c r="DV560" s="135"/>
      <c r="DW560" s="135"/>
      <c r="DX560" s="135"/>
      <c r="DY560" s="135"/>
      <c r="DZ560" s="135"/>
      <c r="EA560" s="135"/>
      <c r="EB560" s="135"/>
      <c r="EC560" s="135"/>
      <c r="ED560" s="135"/>
      <c r="EE560" s="135"/>
      <c r="EF560" s="135"/>
      <c r="EG560" s="135"/>
      <c r="EH560" s="135"/>
      <c r="EI560" s="135"/>
      <c r="EJ560" s="135"/>
      <c r="EK560" s="135"/>
      <c r="EL560" s="135"/>
      <c r="EM560" s="135"/>
      <c r="EN560" s="135"/>
      <c r="EO560" s="135"/>
      <c r="EP560" s="135"/>
      <c r="EQ560" s="135"/>
      <c r="ER560" s="135"/>
      <c r="ES560" s="135"/>
      <c r="ET560" s="135"/>
      <c r="EU560" s="135"/>
      <c r="EV560" s="135"/>
      <c r="EW560" s="135"/>
    </row>
    <row r="561" spans="2:153" s="141" customFormat="1" x14ac:dyDescent="0.2">
      <c r="B561" s="134"/>
      <c r="C561" s="135"/>
      <c r="D561" s="136"/>
      <c r="E561" s="136"/>
      <c r="F561" s="137"/>
      <c r="G561" s="138"/>
      <c r="H561" s="138"/>
      <c r="I561" s="463"/>
      <c r="J561" s="134"/>
      <c r="K561" s="139"/>
      <c r="L561" s="140"/>
      <c r="N561" s="134"/>
      <c r="O561" s="134"/>
      <c r="P561" s="134"/>
      <c r="Q561" s="134"/>
      <c r="R561" s="140"/>
      <c r="S561" s="135"/>
      <c r="T561" s="135"/>
      <c r="U561" s="135"/>
      <c r="V561" s="135"/>
      <c r="W561" s="135"/>
      <c r="X561" s="135"/>
      <c r="Y561" s="135"/>
      <c r="Z561" s="135"/>
      <c r="AA561" s="135"/>
      <c r="AB561" s="135"/>
      <c r="AC561" s="135"/>
      <c r="AD561" s="135"/>
      <c r="AE561" s="135"/>
      <c r="AF561" s="135"/>
      <c r="AG561" s="135"/>
      <c r="AH561" s="135"/>
      <c r="AI561" s="135"/>
      <c r="AJ561" s="135"/>
      <c r="AK561" s="135"/>
      <c r="AL561" s="135"/>
      <c r="AM561" s="135"/>
      <c r="AN561" s="135"/>
      <c r="AO561" s="135"/>
      <c r="AP561" s="135"/>
      <c r="AQ561" s="135"/>
      <c r="AR561" s="135"/>
      <c r="AS561" s="135"/>
      <c r="AT561" s="135"/>
      <c r="AU561" s="135"/>
      <c r="AV561" s="135"/>
      <c r="AW561" s="135"/>
      <c r="AX561" s="135"/>
      <c r="AY561" s="135"/>
      <c r="AZ561" s="135"/>
      <c r="BA561" s="135"/>
      <c r="BB561" s="135"/>
      <c r="BC561" s="135"/>
      <c r="BD561" s="135"/>
      <c r="BE561" s="135"/>
      <c r="BF561" s="135"/>
      <c r="BG561" s="135"/>
      <c r="BH561" s="135"/>
      <c r="BI561" s="135"/>
      <c r="BJ561" s="135"/>
      <c r="BK561" s="135"/>
      <c r="BL561" s="135"/>
      <c r="BM561" s="135"/>
      <c r="BN561" s="135"/>
      <c r="BO561" s="135"/>
      <c r="BP561" s="135"/>
      <c r="BQ561" s="135"/>
      <c r="BR561" s="135"/>
      <c r="BS561" s="135"/>
      <c r="BT561" s="135"/>
      <c r="BU561" s="135"/>
      <c r="BV561" s="135"/>
      <c r="BW561" s="135"/>
      <c r="BX561" s="135"/>
      <c r="BY561" s="135"/>
      <c r="BZ561" s="135"/>
      <c r="CA561" s="135"/>
      <c r="CB561" s="135"/>
      <c r="CC561" s="135"/>
      <c r="CD561" s="135"/>
      <c r="CE561" s="135"/>
      <c r="CF561" s="135"/>
      <c r="CG561" s="135"/>
      <c r="CH561" s="135"/>
      <c r="CI561" s="135"/>
      <c r="CJ561" s="135"/>
      <c r="CK561" s="135"/>
      <c r="CL561" s="135"/>
      <c r="CM561" s="135"/>
      <c r="CN561" s="135"/>
      <c r="CO561" s="135"/>
      <c r="CP561" s="135"/>
      <c r="CQ561" s="135"/>
      <c r="CR561" s="135"/>
      <c r="CS561" s="135"/>
      <c r="CT561" s="135"/>
      <c r="CU561" s="135"/>
      <c r="CV561" s="135"/>
      <c r="CW561" s="135"/>
      <c r="CX561" s="135"/>
      <c r="CY561" s="135"/>
      <c r="CZ561" s="135"/>
      <c r="DA561" s="135"/>
      <c r="DB561" s="135"/>
      <c r="DC561" s="135"/>
      <c r="DD561" s="135"/>
      <c r="DE561" s="135"/>
      <c r="DF561" s="135"/>
      <c r="DG561" s="135"/>
      <c r="DH561" s="135"/>
      <c r="DI561" s="135"/>
      <c r="DJ561" s="135"/>
      <c r="DK561" s="135"/>
      <c r="DL561" s="135"/>
      <c r="DM561" s="135"/>
      <c r="DN561" s="135"/>
      <c r="DO561" s="135"/>
      <c r="DP561" s="135"/>
      <c r="DQ561" s="135"/>
      <c r="DR561" s="135"/>
      <c r="DS561" s="135"/>
      <c r="DT561" s="135"/>
      <c r="DU561" s="135"/>
      <c r="DV561" s="135"/>
      <c r="DW561" s="135"/>
      <c r="DX561" s="135"/>
      <c r="DY561" s="135"/>
      <c r="DZ561" s="135"/>
      <c r="EA561" s="135"/>
      <c r="EB561" s="135"/>
      <c r="EC561" s="135"/>
      <c r="ED561" s="135"/>
      <c r="EE561" s="135"/>
      <c r="EF561" s="135"/>
      <c r="EG561" s="135"/>
      <c r="EH561" s="135"/>
      <c r="EI561" s="135"/>
      <c r="EJ561" s="135"/>
      <c r="EK561" s="135"/>
      <c r="EL561" s="135"/>
      <c r="EM561" s="135"/>
      <c r="EN561" s="135"/>
      <c r="EO561" s="135"/>
      <c r="EP561" s="135"/>
      <c r="EQ561" s="135"/>
      <c r="ER561" s="135"/>
      <c r="ES561" s="135"/>
      <c r="ET561" s="135"/>
      <c r="EU561" s="135"/>
      <c r="EV561" s="135"/>
      <c r="EW561" s="135"/>
    </row>
    <row r="562" spans="2:153" s="141" customFormat="1" x14ac:dyDescent="0.2">
      <c r="B562" s="134"/>
      <c r="C562" s="135"/>
      <c r="D562" s="136"/>
      <c r="E562" s="136"/>
      <c r="F562" s="137"/>
      <c r="G562" s="138"/>
      <c r="H562" s="138"/>
      <c r="I562" s="463"/>
      <c r="J562" s="134"/>
      <c r="K562" s="139"/>
      <c r="L562" s="140"/>
      <c r="N562" s="134"/>
      <c r="O562" s="134"/>
      <c r="P562" s="134"/>
      <c r="Q562" s="134"/>
      <c r="R562" s="140"/>
      <c r="S562" s="135"/>
      <c r="T562" s="135"/>
      <c r="U562" s="135"/>
      <c r="V562" s="135"/>
      <c r="W562" s="135"/>
      <c r="X562" s="135"/>
      <c r="Y562" s="135"/>
      <c r="Z562" s="135"/>
      <c r="AA562" s="135"/>
      <c r="AB562" s="135"/>
      <c r="AC562" s="135"/>
      <c r="AD562" s="135"/>
      <c r="AE562" s="135"/>
      <c r="AF562" s="135"/>
      <c r="AG562" s="135"/>
      <c r="AH562" s="135"/>
      <c r="AI562" s="135"/>
      <c r="AJ562" s="135"/>
      <c r="AK562" s="135"/>
      <c r="AL562" s="135"/>
      <c r="AM562" s="135"/>
      <c r="AN562" s="135"/>
      <c r="AO562" s="135"/>
      <c r="AP562" s="135"/>
      <c r="AQ562" s="135"/>
      <c r="AR562" s="135"/>
      <c r="AS562" s="135"/>
      <c r="AT562" s="135"/>
      <c r="AU562" s="135"/>
      <c r="AV562" s="135"/>
      <c r="AW562" s="135"/>
      <c r="AX562" s="135"/>
      <c r="AY562" s="135"/>
      <c r="AZ562" s="135"/>
      <c r="BA562" s="135"/>
      <c r="BB562" s="135"/>
      <c r="BC562" s="135"/>
      <c r="BD562" s="135"/>
      <c r="BE562" s="135"/>
      <c r="BF562" s="135"/>
      <c r="BG562" s="135"/>
      <c r="BH562" s="135"/>
      <c r="BI562" s="135"/>
      <c r="BJ562" s="135"/>
      <c r="BK562" s="135"/>
      <c r="BL562" s="135"/>
      <c r="BM562" s="135"/>
      <c r="BN562" s="135"/>
      <c r="BO562" s="135"/>
      <c r="BP562" s="135"/>
      <c r="BQ562" s="135"/>
      <c r="BR562" s="135"/>
      <c r="BS562" s="135"/>
      <c r="BT562" s="135"/>
      <c r="BU562" s="135"/>
      <c r="BV562" s="135"/>
      <c r="BW562" s="135"/>
      <c r="BX562" s="135"/>
      <c r="BY562" s="135"/>
      <c r="BZ562" s="135"/>
      <c r="CA562" s="135"/>
      <c r="CB562" s="135"/>
      <c r="CC562" s="135"/>
      <c r="CD562" s="135"/>
      <c r="CE562" s="135"/>
      <c r="CF562" s="135"/>
      <c r="CG562" s="135"/>
      <c r="CH562" s="135"/>
      <c r="CI562" s="135"/>
      <c r="CJ562" s="135"/>
      <c r="CK562" s="135"/>
      <c r="CL562" s="135"/>
      <c r="CM562" s="135"/>
      <c r="CN562" s="135"/>
      <c r="CO562" s="135"/>
      <c r="CP562" s="135"/>
      <c r="CQ562" s="135"/>
      <c r="CR562" s="135"/>
      <c r="CS562" s="135"/>
      <c r="CT562" s="135"/>
      <c r="CU562" s="135"/>
      <c r="CV562" s="135"/>
      <c r="CW562" s="135"/>
      <c r="CX562" s="135"/>
      <c r="CY562" s="135"/>
      <c r="CZ562" s="135"/>
      <c r="DA562" s="135"/>
      <c r="DB562" s="135"/>
      <c r="DC562" s="135"/>
      <c r="DD562" s="135"/>
      <c r="DE562" s="135"/>
      <c r="DF562" s="135"/>
      <c r="DG562" s="135"/>
      <c r="DH562" s="135"/>
      <c r="DI562" s="135"/>
      <c r="DJ562" s="135"/>
      <c r="DK562" s="135"/>
      <c r="DL562" s="135"/>
      <c r="DM562" s="135"/>
      <c r="DN562" s="135"/>
      <c r="DO562" s="135"/>
      <c r="DP562" s="135"/>
      <c r="DQ562" s="135"/>
      <c r="DR562" s="135"/>
      <c r="DS562" s="135"/>
      <c r="DT562" s="135"/>
      <c r="DU562" s="135"/>
      <c r="DV562" s="135"/>
      <c r="DW562" s="135"/>
      <c r="DX562" s="135"/>
      <c r="DY562" s="135"/>
      <c r="DZ562" s="135"/>
      <c r="EA562" s="135"/>
      <c r="EB562" s="135"/>
      <c r="EC562" s="135"/>
      <c r="ED562" s="135"/>
      <c r="EE562" s="135"/>
      <c r="EF562" s="135"/>
      <c r="EG562" s="135"/>
      <c r="EH562" s="135"/>
      <c r="EI562" s="135"/>
      <c r="EJ562" s="135"/>
      <c r="EK562" s="135"/>
      <c r="EL562" s="135"/>
      <c r="EM562" s="135"/>
      <c r="EN562" s="135"/>
      <c r="EO562" s="135"/>
      <c r="EP562" s="135"/>
      <c r="EQ562" s="135"/>
      <c r="ER562" s="135"/>
      <c r="ES562" s="135"/>
      <c r="ET562" s="135"/>
      <c r="EU562" s="135"/>
      <c r="EV562" s="135"/>
      <c r="EW562" s="135"/>
    </row>
    <row r="563" spans="2:153" s="141" customFormat="1" x14ac:dyDescent="0.2">
      <c r="B563" s="134"/>
      <c r="C563" s="135"/>
      <c r="D563" s="136"/>
      <c r="E563" s="136"/>
      <c r="F563" s="137"/>
      <c r="G563" s="138"/>
      <c r="H563" s="138"/>
      <c r="I563" s="463"/>
      <c r="J563" s="134"/>
      <c r="K563" s="139"/>
      <c r="L563" s="140"/>
      <c r="N563" s="134"/>
      <c r="O563" s="134"/>
      <c r="P563" s="134"/>
      <c r="Q563" s="134"/>
      <c r="R563" s="140"/>
      <c r="S563" s="135"/>
      <c r="T563" s="135"/>
      <c r="U563" s="135"/>
      <c r="V563" s="135"/>
      <c r="W563" s="135"/>
      <c r="X563" s="135"/>
      <c r="Y563" s="135"/>
      <c r="Z563" s="135"/>
      <c r="AA563" s="135"/>
      <c r="AB563" s="135"/>
      <c r="AC563" s="135"/>
      <c r="AD563" s="135"/>
      <c r="AE563" s="135"/>
      <c r="AF563" s="135"/>
      <c r="AG563" s="135"/>
      <c r="AH563" s="135"/>
      <c r="AI563" s="135"/>
      <c r="AJ563" s="135"/>
      <c r="AK563" s="135"/>
      <c r="AL563" s="135"/>
      <c r="AM563" s="135"/>
      <c r="AN563" s="135"/>
      <c r="AO563" s="135"/>
      <c r="AP563" s="135"/>
      <c r="AQ563" s="135"/>
      <c r="AR563" s="135"/>
      <c r="AS563" s="135"/>
      <c r="AT563" s="135"/>
      <c r="AU563" s="135"/>
      <c r="AV563" s="135"/>
      <c r="AW563" s="135"/>
      <c r="AX563" s="135"/>
      <c r="AY563" s="135"/>
      <c r="AZ563" s="135"/>
      <c r="BA563" s="135"/>
      <c r="BB563" s="135"/>
      <c r="BC563" s="135"/>
      <c r="BD563" s="135"/>
      <c r="BE563" s="135"/>
      <c r="BF563" s="135"/>
      <c r="BG563" s="135"/>
      <c r="BH563" s="135"/>
      <c r="BI563" s="135"/>
      <c r="BJ563" s="135"/>
      <c r="BK563" s="135"/>
      <c r="BL563" s="135"/>
      <c r="BM563" s="135"/>
      <c r="BN563" s="135"/>
      <c r="BO563" s="135"/>
      <c r="BP563" s="135"/>
      <c r="BQ563" s="135"/>
      <c r="BR563" s="135"/>
      <c r="BS563" s="135"/>
      <c r="BT563" s="135"/>
      <c r="BU563" s="135"/>
      <c r="BV563" s="135"/>
      <c r="BW563" s="135"/>
      <c r="BX563" s="135"/>
      <c r="BY563" s="135"/>
      <c r="BZ563" s="135"/>
      <c r="CA563" s="135"/>
      <c r="CB563" s="135"/>
      <c r="CC563" s="135"/>
      <c r="CD563" s="135"/>
      <c r="CE563" s="135"/>
      <c r="CF563" s="135"/>
      <c r="CG563" s="135"/>
      <c r="CH563" s="135"/>
      <c r="CI563" s="135"/>
      <c r="CJ563" s="135"/>
      <c r="CK563" s="135"/>
      <c r="CL563" s="135"/>
      <c r="CM563" s="135"/>
      <c r="CN563" s="135"/>
      <c r="CO563" s="135"/>
      <c r="CP563" s="135"/>
      <c r="CQ563" s="135"/>
      <c r="CR563" s="135"/>
      <c r="CS563" s="135"/>
      <c r="CT563" s="135"/>
      <c r="CU563" s="135"/>
      <c r="CV563" s="135"/>
      <c r="CW563" s="135"/>
      <c r="CX563" s="135"/>
      <c r="CY563" s="135"/>
      <c r="CZ563" s="135"/>
      <c r="DA563" s="135"/>
      <c r="DB563" s="135"/>
      <c r="DC563" s="135"/>
      <c r="DD563" s="135"/>
      <c r="DE563" s="135"/>
      <c r="DF563" s="135"/>
      <c r="DG563" s="135"/>
      <c r="DH563" s="135"/>
      <c r="DI563" s="135"/>
      <c r="DJ563" s="135"/>
      <c r="DK563" s="135"/>
      <c r="DL563" s="135"/>
      <c r="DM563" s="135"/>
      <c r="DN563" s="135"/>
      <c r="DO563" s="135"/>
      <c r="DP563" s="135"/>
      <c r="DQ563" s="135"/>
      <c r="DR563" s="135"/>
      <c r="DS563" s="135"/>
      <c r="DT563" s="135"/>
      <c r="DU563" s="135"/>
      <c r="DV563" s="135"/>
      <c r="DW563" s="135"/>
      <c r="DX563" s="135"/>
      <c r="DY563" s="135"/>
      <c r="DZ563" s="135"/>
      <c r="EA563" s="135"/>
      <c r="EB563" s="135"/>
      <c r="EC563" s="135"/>
      <c r="ED563" s="135"/>
      <c r="EE563" s="135"/>
      <c r="EF563" s="135"/>
      <c r="EG563" s="135"/>
      <c r="EH563" s="135"/>
      <c r="EI563" s="135"/>
      <c r="EJ563" s="135"/>
      <c r="EK563" s="135"/>
      <c r="EL563" s="135"/>
      <c r="EM563" s="135"/>
      <c r="EN563" s="135"/>
      <c r="EO563" s="135"/>
      <c r="EP563" s="135"/>
      <c r="EQ563" s="135"/>
      <c r="ER563" s="135"/>
      <c r="ES563" s="135"/>
      <c r="ET563" s="135"/>
      <c r="EU563" s="135"/>
      <c r="EV563" s="135"/>
      <c r="EW563" s="135"/>
    </row>
    <row r="564" spans="2:153" s="141" customFormat="1" x14ac:dyDescent="0.2">
      <c r="B564" s="134"/>
      <c r="C564" s="135"/>
      <c r="D564" s="136"/>
      <c r="E564" s="136"/>
      <c r="F564" s="137"/>
      <c r="G564" s="138"/>
      <c r="H564" s="138"/>
      <c r="I564" s="463"/>
      <c r="J564" s="134"/>
      <c r="K564" s="139"/>
      <c r="L564" s="140"/>
      <c r="N564" s="134"/>
      <c r="O564" s="134"/>
      <c r="P564" s="134"/>
      <c r="Q564" s="134"/>
      <c r="R564" s="140"/>
      <c r="S564" s="135"/>
      <c r="T564" s="135"/>
      <c r="U564" s="135"/>
      <c r="V564" s="135"/>
      <c r="W564" s="135"/>
      <c r="X564" s="135"/>
      <c r="Y564" s="135"/>
      <c r="Z564" s="135"/>
      <c r="AA564" s="135"/>
      <c r="AB564" s="135"/>
      <c r="AC564" s="135"/>
      <c r="AD564" s="135"/>
      <c r="AE564" s="135"/>
      <c r="AF564" s="135"/>
      <c r="AG564" s="135"/>
      <c r="AH564" s="135"/>
      <c r="AI564" s="135"/>
      <c r="AJ564" s="135"/>
      <c r="AK564" s="135"/>
      <c r="AL564" s="135"/>
      <c r="AM564" s="135"/>
      <c r="AN564" s="135"/>
      <c r="AO564" s="135"/>
      <c r="AP564" s="135"/>
      <c r="AQ564" s="135"/>
      <c r="AR564" s="135"/>
      <c r="AS564" s="135"/>
      <c r="AT564" s="135"/>
      <c r="AU564" s="135"/>
      <c r="AV564" s="135"/>
      <c r="AW564" s="135"/>
      <c r="AX564" s="135"/>
      <c r="AY564" s="135"/>
      <c r="AZ564" s="135"/>
      <c r="BA564" s="135"/>
      <c r="BB564" s="135"/>
      <c r="BC564" s="135"/>
      <c r="BD564" s="135"/>
      <c r="BE564" s="135"/>
      <c r="BF564" s="135"/>
      <c r="BG564" s="135"/>
      <c r="BH564" s="135"/>
      <c r="BI564" s="135"/>
      <c r="BJ564" s="135"/>
      <c r="BK564" s="135"/>
      <c r="BL564" s="135"/>
      <c r="BM564" s="135"/>
      <c r="BN564" s="135"/>
      <c r="BO564" s="135"/>
      <c r="BP564" s="135"/>
      <c r="BQ564" s="135"/>
      <c r="BR564" s="135"/>
      <c r="BS564" s="135"/>
      <c r="BT564" s="135"/>
      <c r="BU564" s="135"/>
      <c r="BV564" s="135"/>
      <c r="BW564" s="135"/>
      <c r="BX564" s="135"/>
      <c r="BY564" s="135"/>
      <c r="BZ564" s="135"/>
      <c r="CA564" s="135"/>
      <c r="CB564" s="135"/>
      <c r="CC564" s="135"/>
      <c r="CD564" s="135"/>
      <c r="CE564" s="135"/>
      <c r="CF564" s="135"/>
      <c r="CG564" s="135"/>
      <c r="CH564" s="135"/>
      <c r="CI564" s="135"/>
      <c r="CJ564" s="135"/>
      <c r="CK564" s="135"/>
      <c r="CL564" s="135"/>
      <c r="CM564" s="135"/>
      <c r="CN564" s="135"/>
      <c r="CO564" s="135"/>
      <c r="CP564" s="135"/>
      <c r="CQ564" s="135"/>
      <c r="CR564" s="135"/>
      <c r="CS564" s="135"/>
      <c r="CT564" s="135"/>
      <c r="CU564" s="135"/>
      <c r="CV564" s="135"/>
      <c r="CW564" s="135"/>
      <c r="CX564" s="135"/>
      <c r="CY564" s="135"/>
      <c r="CZ564" s="135"/>
      <c r="DA564" s="135"/>
      <c r="DB564" s="135"/>
      <c r="DC564" s="135"/>
      <c r="DD564" s="135"/>
      <c r="DE564" s="135"/>
      <c r="DF564" s="135"/>
      <c r="DG564" s="135"/>
      <c r="DH564" s="135"/>
      <c r="DI564" s="135"/>
      <c r="DJ564" s="135"/>
      <c r="DK564" s="135"/>
      <c r="DL564" s="135"/>
      <c r="DM564" s="135"/>
      <c r="DN564" s="135"/>
      <c r="DO564" s="135"/>
      <c r="DP564" s="135"/>
      <c r="DQ564" s="135"/>
      <c r="DR564" s="135"/>
      <c r="DS564" s="135"/>
      <c r="DT564" s="135"/>
      <c r="DU564" s="135"/>
      <c r="DV564" s="135"/>
      <c r="DW564" s="135"/>
      <c r="DX564" s="135"/>
      <c r="DY564" s="135"/>
      <c r="DZ564" s="135"/>
      <c r="EA564" s="135"/>
      <c r="EB564" s="135"/>
      <c r="EC564" s="135"/>
      <c r="ED564" s="135"/>
      <c r="EE564" s="135"/>
      <c r="EF564" s="135"/>
      <c r="EG564" s="135"/>
      <c r="EH564" s="135"/>
      <c r="EI564" s="135"/>
      <c r="EJ564" s="135"/>
      <c r="EK564" s="135"/>
      <c r="EL564" s="135"/>
      <c r="EM564" s="135"/>
      <c r="EN564" s="135"/>
      <c r="EO564" s="135"/>
      <c r="EP564" s="135"/>
      <c r="EQ564" s="135"/>
      <c r="ER564" s="135"/>
      <c r="ES564" s="135"/>
      <c r="ET564" s="135"/>
      <c r="EU564" s="135"/>
      <c r="EV564" s="135"/>
      <c r="EW564" s="135"/>
    </row>
    <row r="565" spans="2:153" s="141" customFormat="1" x14ac:dyDescent="0.2">
      <c r="B565" s="134"/>
      <c r="C565" s="135"/>
      <c r="D565" s="136"/>
      <c r="E565" s="136"/>
      <c r="F565" s="137"/>
      <c r="G565" s="138"/>
      <c r="H565" s="138"/>
      <c r="I565" s="463"/>
      <c r="J565" s="134"/>
      <c r="K565" s="139"/>
      <c r="L565" s="140"/>
      <c r="N565" s="134"/>
      <c r="O565" s="134"/>
      <c r="P565" s="134"/>
      <c r="Q565" s="134"/>
      <c r="R565" s="140"/>
      <c r="S565" s="135"/>
      <c r="T565" s="135"/>
      <c r="U565" s="135"/>
      <c r="V565" s="135"/>
      <c r="W565" s="135"/>
      <c r="X565" s="135"/>
      <c r="Y565" s="135"/>
      <c r="Z565" s="135"/>
      <c r="AA565" s="135"/>
      <c r="AB565" s="135"/>
      <c r="AC565" s="135"/>
      <c r="AD565" s="135"/>
      <c r="AE565" s="135"/>
      <c r="AF565" s="135"/>
      <c r="AG565" s="135"/>
      <c r="AH565" s="135"/>
      <c r="AI565" s="135"/>
      <c r="AJ565" s="135"/>
      <c r="AK565" s="135"/>
      <c r="AL565" s="135"/>
      <c r="AM565" s="135"/>
      <c r="AN565" s="135"/>
      <c r="AO565" s="135"/>
      <c r="AP565" s="135"/>
      <c r="AQ565" s="135"/>
      <c r="AR565" s="135"/>
      <c r="AS565" s="135"/>
      <c r="AT565" s="135"/>
      <c r="AU565" s="135"/>
      <c r="AV565" s="135"/>
      <c r="AW565" s="135"/>
      <c r="AX565" s="135"/>
      <c r="AY565" s="135"/>
      <c r="AZ565" s="135"/>
      <c r="BA565" s="135"/>
      <c r="BB565" s="135"/>
      <c r="BC565" s="135"/>
      <c r="BD565" s="135"/>
      <c r="BE565" s="135"/>
      <c r="BF565" s="135"/>
      <c r="BG565" s="135"/>
      <c r="BH565" s="135"/>
      <c r="BI565" s="135"/>
      <c r="BJ565" s="135"/>
      <c r="BK565" s="135"/>
      <c r="BL565" s="135"/>
      <c r="BM565" s="135"/>
      <c r="BN565" s="135"/>
      <c r="BO565" s="135"/>
      <c r="BP565" s="135"/>
      <c r="BQ565" s="135"/>
      <c r="BR565" s="135"/>
      <c r="BS565" s="135"/>
      <c r="BT565" s="135"/>
      <c r="BU565" s="135"/>
      <c r="BV565" s="135"/>
      <c r="BW565" s="135"/>
      <c r="BX565" s="135"/>
      <c r="BY565" s="135"/>
      <c r="BZ565" s="135"/>
      <c r="CA565" s="135"/>
      <c r="CB565" s="135"/>
      <c r="CC565" s="135"/>
      <c r="CD565" s="135"/>
      <c r="CE565" s="135"/>
      <c r="CF565" s="135"/>
      <c r="CG565" s="135"/>
      <c r="CH565" s="135"/>
      <c r="CI565" s="135"/>
      <c r="CJ565" s="135"/>
      <c r="CK565" s="135"/>
      <c r="CL565" s="135"/>
      <c r="CM565" s="135"/>
      <c r="CN565" s="135"/>
      <c r="CO565" s="135"/>
      <c r="CP565" s="135"/>
      <c r="CQ565" s="135"/>
      <c r="CR565" s="135"/>
      <c r="CS565" s="135"/>
      <c r="CT565" s="135"/>
      <c r="CU565" s="135"/>
      <c r="CV565" s="135"/>
      <c r="CW565" s="135"/>
      <c r="CX565" s="135"/>
      <c r="CY565" s="135"/>
      <c r="CZ565" s="135"/>
      <c r="DA565" s="135"/>
      <c r="DB565" s="135"/>
      <c r="DC565" s="135"/>
      <c r="DD565" s="135"/>
      <c r="DE565" s="135"/>
      <c r="DF565" s="135"/>
      <c r="DG565" s="135"/>
      <c r="DH565" s="135"/>
      <c r="DI565" s="135"/>
      <c r="DJ565" s="135"/>
      <c r="DK565" s="135"/>
      <c r="DL565" s="135"/>
      <c r="DM565" s="135"/>
      <c r="DN565" s="135"/>
      <c r="DO565" s="135"/>
      <c r="DP565" s="135"/>
      <c r="DQ565" s="135"/>
      <c r="DR565" s="135"/>
      <c r="DS565" s="135"/>
      <c r="DT565" s="135"/>
      <c r="DU565" s="135"/>
      <c r="DV565" s="135"/>
      <c r="DW565" s="135"/>
      <c r="DX565" s="135"/>
      <c r="DY565" s="135"/>
      <c r="DZ565" s="135"/>
      <c r="EA565" s="135"/>
      <c r="EB565" s="135"/>
      <c r="EC565" s="135"/>
      <c r="ED565" s="135"/>
      <c r="EE565" s="135"/>
      <c r="EF565" s="135"/>
      <c r="EG565" s="135"/>
      <c r="EH565" s="135"/>
      <c r="EI565" s="135"/>
      <c r="EJ565" s="135"/>
      <c r="EK565" s="135"/>
      <c r="EL565" s="135"/>
      <c r="EM565" s="135"/>
      <c r="EN565" s="135"/>
      <c r="EO565" s="135"/>
      <c r="EP565" s="135"/>
      <c r="EQ565" s="135"/>
      <c r="ER565" s="135"/>
      <c r="ES565" s="135"/>
      <c r="ET565" s="135"/>
      <c r="EU565" s="135"/>
      <c r="EV565" s="135"/>
      <c r="EW565" s="135"/>
    </row>
    <row r="566" spans="2:153" s="141" customFormat="1" x14ac:dyDescent="0.2">
      <c r="B566" s="134"/>
      <c r="C566" s="135"/>
      <c r="D566" s="136"/>
      <c r="E566" s="136"/>
      <c r="F566" s="137"/>
      <c r="G566" s="138"/>
      <c r="H566" s="138"/>
      <c r="I566" s="463"/>
      <c r="J566" s="134"/>
      <c r="K566" s="139"/>
      <c r="L566" s="140"/>
      <c r="N566" s="134"/>
      <c r="O566" s="134"/>
      <c r="P566" s="134"/>
      <c r="Q566" s="134"/>
      <c r="R566" s="140"/>
      <c r="S566" s="135"/>
      <c r="T566" s="135"/>
      <c r="U566" s="135"/>
      <c r="V566" s="135"/>
      <c r="W566" s="135"/>
      <c r="X566" s="135"/>
      <c r="Y566" s="135"/>
      <c r="Z566" s="135"/>
      <c r="AA566" s="135"/>
      <c r="AB566" s="135"/>
      <c r="AC566" s="135"/>
      <c r="AD566" s="135"/>
      <c r="AE566" s="135"/>
      <c r="AF566" s="135"/>
      <c r="AG566" s="135"/>
      <c r="AH566" s="135"/>
      <c r="AI566" s="135"/>
      <c r="AJ566" s="135"/>
      <c r="AK566" s="135"/>
      <c r="AL566" s="135"/>
      <c r="AM566" s="135"/>
      <c r="AN566" s="135"/>
      <c r="AO566" s="135"/>
      <c r="AP566" s="135"/>
      <c r="AQ566" s="135"/>
      <c r="AR566" s="135"/>
      <c r="AS566" s="135"/>
      <c r="AT566" s="135"/>
      <c r="AU566" s="135"/>
      <c r="AV566" s="135"/>
      <c r="AW566" s="135"/>
      <c r="AX566" s="135"/>
      <c r="AY566" s="135"/>
      <c r="AZ566" s="135"/>
      <c r="BA566" s="135"/>
      <c r="BB566" s="135"/>
      <c r="BC566" s="135"/>
      <c r="BD566" s="135"/>
      <c r="BE566" s="135"/>
      <c r="BF566" s="135"/>
      <c r="BG566" s="135"/>
      <c r="BH566" s="135"/>
      <c r="BI566" s="135"/>
      <c r="BJ566" s="135"/>
      <c r="BK566" s="135"/>
      <c r="BL566" s="135"/>
      <c r="BM566" s="135"/>
      <c r="BN566" s="135"/>
      <c r="BO566" s="135"/>
      <c r="BP566" s="135"/>
      <c r="BQ566" s="135"/>
      <c r="BR566" s="135"/>
      <c r="BS566" s="135"/>
      <c r="BT566" s="135"/>
      <c r="BU566" s="135"/>
      <c r="BV566" s="135"/>
      <c r="BW566" s="135"/>
      <c r="BX566" s="135"/>
      <c r="BY566" s="135"/>
      <c r="BZ566" s="135"/>
      <c r="CA566" s="135"/>
      <c r="CB566" s="135"/>
      <c r="CC566" s="135"/>
      <c r="CD566" s="135"/>
      <c r="CE566" s="135"/>
      <c r="CF566" s="135"/>
      <c r="CG566" s="135"/>
      <c r="CH566" s="135"/>
      <c r="CI566" s="135"/>
      <c r="CJ566" s="135"/>
      <c r="CK566" s="135"/>
      <c r="CL566" s="135"/>
      <c r="CM566" s="135"/>
      <c r="CN566" s="135"/>
      <c r="CO566" s="135"/>
      <c r="CP566" s="135"/>
      <c r="CQ566" s="135"/>
      <c r="CR566" s="135"/>
      <c r="CS566" s="135"/>
      <c r="CT566" s="135"/>
      <c r="CU566" s="135"/>
      <c r="CV566" s="135"/>
      <c r="CW566" s="135"/>
      <c r="CX566" s="135"/>
      <c r="CY566" s="135"/>
      <c r="CZ566" s="135"/>
      <c r="DA566" s="135"/>
      <c r="DB566" s="135"/>
      <c r="DC566" s="135"/>
      <c r="DD566" s="135"/>
      <c r="DE566" s="135"/>
      <c r="DF566" s="135"/>
      <c r="DG566" s="135"/>
      <c r="DH566" s="135"/>
      <c r="DI566" s="135"/>
      <c r="DJ566" s="135"/>
      <c r="DK566" s="135"/>
      <c r="DL566" s="135"/>
      <c r="DM566" s="135"/>
      <c r="DN566" s="135"/>
      <c r="DO566" s="135"/>
      <c r="DP566" s="135"/>
      <c r="DQ566" s="135"/>
      <c r="DR566" s="135"/>
      <c r="DS566" s="135"/>
      <c r="DT566" s="135"/>
      <c r="DU566" s="135"/>
      <c r="DV566" s="135"/>
      <c r="DW566" s="135"/>
      <c r="DX566" s="135"/>
      <c r="DY566" s="135"/>
      <c r="DZ566" s="135"/>
      <c r="EA566" s="135"/>
      <c r="EB566" s="135"/>
      <c r="EC566" s="135"/>
      <c r="ED566" s="135"/>
      <c r="EE566" s="135"/>
      <c r="EF566" s="135"/>
      <c r="EG566" s="135"/>
      <c r="EH566" s="135"/>
      <c r="EI566" s="135"/>
      <c r="EJ566" s="135"/>
      <c r="EK566" s="135"/>
      <c r="EL566" s="135"/>
      <c r="EM566" s="135"/>
      <c r="EN566" s="135"/>
      <c r="EO566" s="135"/>
      <c r="EP566" s="135"/>
      <c r="EQ566" s="135"/>
      <c r="ER566" s="135"/>
      <c r="ES566" s="135"/>
      <c r="ET566" s="135"/>
      <c r="EU566" s="135"/>
      <c r="EV566" s="135"/>
      <c r="EW566" s="135"/>
    </row>
    <row r="567" spans="2:153" s="141" customFormat="1" x14ac:dyDescent="0.2">
      <c r="B567" s="134"/>
      <c r="C567" s="135"/>
      <c r="D567" s="136"/>
      <c r="E567" s="136"/>
      <c r="F567" s="137"/>
      <c r="G567" s="138"/>
      <c r="H567" s="138"/>
      <c r="I567" s="463"/>
      <c r="J567" s="134"/>
      <c r="K567" s="139"/>
      <c r="L567" s="140"/>
      <c r="N567" s="134"/>
      <c r="O567" s="134"/>
      <c r="P567" s="134"/>
      <c r="Q567" s="134"/>
      <c r="R567" s="140"/>
      <c r="S567" s="135"/>
      <c r="T567" s="135"/>
      <c r="U567" s="135"/>
      <c r="V567" s="135"/>
      <c r="W567" s="135"/>
      <c r="X567" s="135"/>
      <c r="Y567" s="135"/>
      <c r="Z567" s="135"/>
      <c r="AA567" s="135"/>
      <c r="AB567" s="135"/>
      <c r="AC567" s="135"/>
      <c r="AD567" s="135"/>
      <c r="AE567" s="135"/>
      <c r="AF567" s="135"/>
      <c r="AG567" s="135"/>
      <c r="AH567" s="135"/>
      <c r="AI567" s="135"/>
      <c r="AJ567" s="135"/>
      <c r="AK567" s="135"/>
      <c r="AL567" s="135"/>
      <c r="AM567" s="135"/>
      <c r="AN567" s="135"/>
      <c r="AO567" s="135"/>
      <c r="AP567" s="135"/>
      <c r="AQ567" s="135"/>
      <c r="AR567" s="135"/>
      <c r="AS567" s="135"/>
      <c r="AT567" s="135"/>
      <c r="AU567" s="135"/>
      <c r="AV567" s="135"/>
      <c r="AW567" s="135"/>
      <c r="AX567" s="135"/>
      <c r="AY567" s="135"/>
      <c r="AZ567" s="135"/>
      <c r="BA567" s="135"/>
      <c r="BB567" s="135"/>
      <c r="BC567" s="135"/>
      <c r="BD567" s="135"/>
      <c r="BE567" s="135"/>
      <c r="BF567" s="135"/>
      <c r="BG567" s="135"/>
      <c r="BH567" s="135"/>
      <c r="BI567" s="135"/>
      <c r="BJ567" s="135"/>
      <c r="BK567" s="135"/>
      <c r="BL567" s="135"/>
      <c r="BM567" s="135"/>
      <c r="BN567" s="135"/>
      <c r="BO567" s="135"/>
      <c r="BP567" s="135"/>
      <c r="BQ567" s="135"/>
      <c r="BR567" s="135"/>
      <c r="BS567" s="135"/>
      <c r="BT567" s="135"/>
      <c r="BU567" s="135"/>
      <c r="BV567" s="135"/>
      <c r="BW567" s="135"/>
      <c r="BX567" s="135"/>
      <c r="BY567" s="135"/>
      <c r="BZ567" s="135"/>
      <c r="CA567" s="135"/>
      <c r="CB567" s="135"/>
      <c r="CC567" s="135"/>
      <c r="CD567" s="135"/>
      <c r="CE567" s="135"/>
      <c r="CF567" s="135"/>
      <c r="CG567" s="135"/>
      <c r="CH567" s="135"/>
      <c r="CI567" s="135"/>
      <c r="CJ567" s="135"/>
      <c r="CK567" s="135"/>
      <c r="CL567" s="135"/>
      <c r="CM567" s="135"/>
      <c r="CN567" s="135"/>
      <c r="CO567" s="135"/>
      <c r="CP567" s="135"/>
      <c r="CQ567" s="135"/>
      <c r="CR567" s="135"/>
      <c r="CS567" s="135"/>
      <c r="CT567" s="135"/>
      <c r="CU567" s="135"/>
      <c r="CV567" s="135"/>
      <c r="CW567" s="135"/>
      <c r="CX567" s="135"/>
      <c r="CY567" s="135"/>
      <c r="CZ567" s="135"/>
      <c r="DA567" s="135"/>
      <c r="DB567" s="135"/>
      <c r="DC567" s="135"/>
      <c r="DD567" s="135"/>
      <c r="DE567" s="135"/>
      <c r="DF567" s="135"/>
      <c r="DG567" s="135"/>
      <c r="DH567" s="135"/>
      <c r="DI567" s="135"/>
      <c r="DJ567" s="135"/>
      <c r="DK567" s="135"/>
      <c r="DL567" s="135"/>
      <c r="DM567" s="135"/>
      <c r="DN567" s="135"/>
      <c r="DO567" s="135"/>
      <c r="DP567" s="135"/>
      <c r="DQ567" s="135"/>
      <c r="DR567" s="135"/>
      <c r="DS567" s="135"/>
      <c r="DT567" s="135"/>
      <c r="DU567" s="135"/>
      <c r="DV567" s="135"/>
      <c r="DW567" s="135"/>
      <c r="DX567" s="135"/>
      <c r="DY567" s="135"/>
      <c r="DZ567" s="135"/>
      <c r="EA567" s="135"/>
      <c r="EB567" s="135"/>
      <c r="EC567" s="135"/>
      <c r="ED567" s="135"/>
      <c r="EE567" s="135"/>
      <c r="EF567" s="135"/>
      <c r="EG567" s="135"/>
      <c r="EH567" s="135"/>
      <c r="EI567" s="135"/>
      <c r="EJ567" s="135"/>
      <c r="EK567" s="135"/>
      <c r="EL567" s="135"/>
      <c r="EM567" s="135"/>
      <c r="EN567" s="135"/>
      <c r="EO567" s="135"/>
      <c r="EP567" s="135"/>
      <c r="EQ567" s="135"/>
      <c r="ER567" s="135"/>
      <c r="ES567" s="135"/>
      <c r="ET567" s="135"/>
      <c r="EU567" s="135"/>
      <c r="EV567" s="135"/>
      <c r="EW567" s="135"/>
    </row>
    <row r="568" spans="2:153" s="141" customFormat="1" x14ac:dyDescent="0.2">
      <c r="B568" s="134"/>
      <c r="C568" s="135"/>
      <c r="D568" s="136"/>
      <c r="E568" s="136"/>
      <c r="F568" s="137"/>
      <c r="G568" s="138"/>
      <c r="H568" s="138"/>
      <c r="I568" s="463"/>
      <c r="J568" s="134"/>
      <c r="K568" s="139"/>
      <c r="L568" s="140"/>
      <c r="N568" s="134"/>
      <c r="O568" s="134"/>
      <c r="P568" s="134"/>
      <c r="Q568" s="134"/>
      <c r="R568" s="140"/>
      <c r="S568" s="135"/>
      <c r="T568" s="135"/>
      <c r="U568" s="135"/>
      <c r="V568" s="135"/>
      <c r="W568" s="135"/>
      <c r="X568" s="135"/>
      <c r="Y568" s="135"/>
      <c r="Z568" s="135"/>
      <c r="AA568" s="135"/>
      <c r="AB568" s="135"/>
      <c r="AC568" s="135"/>
      <c r="AD568" s="135"/>
      <c r="AE568" s="135"/>
      <c r="AF568" s="135"/>
      <c r="AG568" s="135"/>
      <c r="AH568" s="135"/>
      <c r="AI568" s="135"/>
      <c r="AJ568" s="135"/>
      <c r="AK568" s="135"/>
      <c r="AL568" s="135"/>
      <c r="AM568" s="135"/>
      <c r="AN568" s="135"/>
      <c r="AO568" s="135"/>
      <c r="AP568" s="135"/>
      <c r="AQ568" s="135"/>
      <c r="AR568" s="135"/>
      <c r="AS568" s="135"/>
      <c r="AT568" s="135"/>
      <c r="AU568" s="135"/>
      <c r="AV568" s="135"/>
      <c r="AW568" s="135"/>
      <c r="AX568" s="135"/>
      <c r="AY568" s="135"/>
      <c r="AZ568" s="135"/>
      <c r="BA568" s="135"/>
      <c r="BB568" s="135"/>
      <c r="BC568" s="135"/>
      <c r="BD568" s="135"/>
      <c r="BE568" s="135"/>
      <c r="BF568" s="135"/>
      <c r="BG568" s="135"/>
      <c r="BH568" s="135"/>
      <c r="BI568" s="135"/>
      <c r="BJ568" s="135"/>
      <c r="BK568" s="135"/>
      <c r="BL568" s="135"/>
      <c r="BM568" s="135"/>
      <c r="BN568" s="135"/>
      <c r="BO568" s="135"/>
      <c r="BP568" s="135"/>
      <c r="BQ568" s="135"/>
      <c r="BR568" s="135"/>
      <c r="BS568" s="135"/>
      <c r="BT568" s="135"/>
      <c r="BU568" s="135"/>
      <c r="BV568" s="135"/>
      <c r="BW568" s="135"/>
      <c r="BX568" s="135"/>
      <c r="BY568" s="135"/>
      <c r="BZ568" s="135"/>
      <c r="CA568" s="135"/>
      <c r="CB568" s="135"/>
      <c r="CC568" s="135"/>
      <c r="CD568" s="135"/>
      <c r="CE568" s="135"/>
      <c r="CF568" s="135"/>
      <c r="CG568" s="135"/>
      <c r="CH568" s="135"/>
      <c r="CI568" s="135"/>
      <c r="CJ568" s="135"/>
      <c r="CK568" s="135"/>
      <c r="CL568" s="135"/>
      <c r="CM568" s="135"/>
      <c r="CN568" s="135"/>
      <c r="CO568" s="135"/>
      <c r="CP568" s="135"/>
      <c r="CQ568" s="135"/>
      <c r="CR568" s="135"/>
      <c r="CS568" s="135"/>
      <c r="CT568" s="135"/>
      <c r="CU568" s="135"/>
      <c r="CV568" s="135"/>
      <c r="CW568" s="135"/>
      <c r="CX568" s="135"/>
      <c r="CY568" s="135"/>
      <c r="CZ568" s="135"/>
      <c r="DA568" s="135"/>
      <c r="DB568" s="135"/>
      <c r="DC568" s="135"/>
      <c r="DD568" s="135"/>
      <c r="DE568" s="135"/>
      <c r="DF568" s="135"/>
      <c r="DG568" s="135"/>
      <c r="DH568" s="135"/>
      <c r="DI568" s="135"/>
      <c r="DJ568" s="135"/>
      <c r="DK568" s="135"/>
      <c r="DL568" s="135"/>
      <c r="DM568" s="135"/>
      <c r="DN568" s="135"/>
      <c r="DO568" s="135"/>
      <c r="DP568" s="135"/>
      <c r="DQ568" s="135"/>
      <c r="DR568" s="135"/>
      <c r="DS568" s="135"/>
      <c r="DT568" s="135"/>
      <c r="DU568" s="135"/>
      <c r="DV568" s="135"/>
      <c r="DW568" s="135"/>
      <c r="DX568" s="135"/>
      <c r="DY568" s="135"/>
      <c r="DZ568" s="135"/>
      <c r="EA568" s="135"/>
      <c r="EB568" s="135"/>
      <c r="EC568" s="135"/>
      <c r="ED568" s="135"/>
      <c r="EE568" s="135"/>
      <c r="EF568" s="135"/>
      <c r="EG568" s="135"/>
      <c r="EH568" s="135"/>
      <c r="EI568" s="135"/>
      <c r="EJ568" s="135"/>
      <c r="EK568" s="135"/>
      <c r="EL568" s="135"/>
      <c r="EM568" s="135"/>
      <c r="EN568" s="135"/>
      <c r="EO568" s="135"/>
      <c r="EP568" s="135"/>
      <c r="EQ568" s="135"/>
      <c r="ER568" s="135"/>
      <c r="ES568" s="135"/>
      <c r="ET568" s="135"/>
      <c r="EU568" s="135"/>
      <c r="EV568" s="135"/>
      <c r="EW568" s="135"/>
    </row>
    <row r="569" spans="2:153" s="141" customFormat="1" x14ac:dyDescent="0.2">
      <c r="B569" s="134"/>
      <c r="C569" s="135"/>
      <c r="D569" s="136"/>
      <c r="E569" s="136"/>
      <c r="F569" s="137"/>
      <c r="G569" s="138"/>
      <c r="H569" s="138"/>
      <c r="I569" s="463"/>
      <c r="J569" s="134"/>
      <c r="K569" s="139"/>
      <c r="L569" s="140"/>
      <c r="N569" s="134"/>
      <c r="O569" s="134"/>
      <c r="P569" s="134"/>
      <c r="Q569" s="134"/>
      <c r="R569" s="140"/>
      <c r="S569" s="135"/>
      <c r="T569" s="135"/>
      <c r="U569" s="135"/>
      <c r="V569" s="135"/>
      <c r="W569" s="135"/>
      <c r="X569" s="135"/>
      <c r="Y569" s="135"/>
      <c r="Z569" s="135"/>
      <c r="AA569" s="135"/>
      <c r="AB569" s="135"/>
      <c r="AC569" s="135"/>
      <c r="AD569" s="135"/>
      <c r="AE569" s="135"/>
      <c r="AF569" s="135"/>
      <c r="AG569" s="135"/>
      <c r="AH569" s="135"/>
      <c r="AI569" s="135"/>
      <c r="AJ569" s="135"/>
      <c r="AK569" s="135"/>
      <c r="AL569" s="135"/>
      <c r="AM569" s="135"/>
      <c r="AN569" s="135"/>
      <c r="AO569" s="135"/>
      <c r="AP569" s="135"/>
      <c r="AQ569" s="135"/>
      <c r="AR569" s="135"/>
      <c r="AS569" s="135"/>
      <c r="AT569" s="135"/>
      <c r="AU569" s="135"/>
      <c r="AV569" s="135"/>
      <c r="AW569" s="135"/>
      <c r="AX569" s="135"/>
      <c r="AY569" s="135"/>
      <c r="AZ569" s="135"/>
      <c r="BA569" s="135"/>
      <c r="BB569" s="135"/>
      <c r="BC569" s="135"/>
      <c r="BD569" s="135"/>
      <c r="BE569" s="135"/>
      <c r="BF569" s="135"/>
      <c r="BG569" s="135"/>
      <c r="BH569" s="135"/>
      <c r="BI569" s="135"/>
      <c r="BJ569" s="135"/>
      <c r="BK569" s="135"/>
      <c r="BL569" s="135"/>
      <c r="BM569" s="135"/>
      <c r="BN569" s="135"/>
      <c r="BO569" s="135"/>
      <c r="BP569" s="135"/>
      <c r="BQ569" s="135"/>
      <c r="BR569" s="135"/>
      <c r="BS569" s="135"/>
      <c r="BT569" s="135"/>
      <c r="BU569" s="135"/>
      <c r="BV569" s="135"/>
      <c r="BW569" s="135"/>
      <c r="BX569" s="135"/>
      <c r="BY569" s="135"/>
      <c r="BZ569" s="135"/>
      <c r="CA569" s="135"/>
      <c r="CB569" s="135"/>
      <c r="CC569" s="135"/>
      <c r="CD569" s="135"/>
      <c r="CE569" s="135"/>
      <c r="CF569" s="135"/>
      <c r="CG569" s="135"/>
      <c r="CH569" s="135"/>
      <c r="CI569" s="135"/>
      <c r="CJ569" s="135"/>
      <c r="CK569" s="135"/>
      <c r="CL569" s="135"/>
      <c r="CM569" s="135"/>
      <c r="CN569" s="135"/>
      <c r="CO569" s="135"/>
      <c r="CP569" s="135"/>
      <c r="CQ569" s="135"/>
      <c r="CR569" s="135"/>
      <c r="CS569" s="135"/>
      <c r="CT569" s="135"/>
      <c r="CU569" s="135"/>
      <c r="CV569" s="135"/>
      <c r="CW569" s="135"/>
      <c r="CX569" s="135"/>
      <c r="CY569" s="135"/>
      <c r="CZ569" s="135"/>
      <c r="DA569" s="135"/>
      <c r="DB569" s="135"/>
      <c r="DC569" s="135"/>
      <c r="DD569" s="135"/>
      <c r="DE569" s="135"/>
      <c r="DF569" s="135"/>
      <c r="DG569" s="135"/>
      <c r="DH569" s="135"/>
      <c r="DI569" s="135"/>
      <c r="DJ569" s="135"/>
      <c r="DK569" s="135"/>
      <c r="DL569" s="135"/>
      <c r="DM569" s="135"/>
      <c r="DN569" s="135"/>
      <c r="DO569" s="135"/>
      <c r="DP569" s="135"/>
      <c r="DQ569" s="135"/>
      <c r="DR569" s="135"/>
      <c r="DS569" s="135"/>
      <c r="DT569" s="135"/>
      <c r="DU569" s="135"/>
      <c r="DV569" s="135"/>
      <c r="DW569" s="135"/>
      <c r="DX569" s="135"/>
      <c r="DY569" s="135"/>
      <c r="DZ569" s="135"/>
      <c r="EA569" s="135"/>
      <c r="EB569" s="135"/>
      <c r="EC569" s="135"/>
      <c r="ED569" s="135"/>
      <c r="EE569" s="135"/>
      <c r="EF569" s="135"/>
      <c r="EG569" s="135"/>
      <c r="EH569" s="135"/>
      <c r="EI569" s="135"/>
      <c r="EJ569" s="135"/>
      <c r="EK569" s="135"/>
      <c r="EL569" s="135"/>
      <c r="EM569" s="135"/>
      <c r="EN569" s="135"/>
      <c r="EO569" s="135"/>
      <c r="EP569" s="135"/>
      <c r="EQ569" s="135"/>
      <c r="ER569" s="135"/>
      <c r="ES569" s="135"/>
      <c r="ET569" s="135"/>
      <c r="EU569" s="135"/>
      <c r="EV569" s="135"/>
      <c r="EW569" s="135"/>
    </row>
    <row r="570" spans="2:153" s="141" customFormat="1" x14ac:dyDescent="0.2">
      <c r="B570" s="134"/>
      <c r="C570" s="135"/>
      <c r="D570" s="136"/>
      <c r="E570" s="136"/>
      <c r="F570" s="137"/>
      <c r="G570" s="138"/>
      <c r="H570" s="138"/>
      <c r="I570" s="463"/>
      <c r="J570" s="134"/>
      <c r="K570" s="139"/>
      <c r="L570" s="140"/>
      <c r="N570" s="134"/>
      <c r="O570" s="134"/>
      <c r="P570" s="134"/>
      <c r="Q570" s="134"/>
      <c r="R570" s="140"/>
      <c r="S570" s="135"/>
      <c r="T570" s="135"/>
      <c r="U570" s="135"/>
      <c r="V570" s="135"/>
      <c r="W570" s="135"/>
      <c r="X570" s="135"/>
      <c r="Y570" s="135"/>
      <c r="Z570" s="135"/>
      <c r="AA570" s="135"/>
      <c r="AB570" s="135"/>
      <c r="AC570" s="135"/>
      <c r="AD570" s="135"/>
      <c r="AE570" s="135"/>
      <c r="AF570" s="135"/>
      <c r="AG570" s="135"/>
      <c r="AH570" s="135"/>
      <c r="AI570" s="135"/>
      <c r="AJ570" s="135"/>
      <c r="AK570" s="135"/>
      <c r="AL570" s="135"/>
      <c r="AM570" s="135"/>
      <c r="AN570" s="135"/>
      <c r="AO570" s="135"/>
      <c r="AP570" s="135"/>
      <c r="AQ570" s="135"/>
      <c r="AR570" s="135"/>
      <c r="AS570" s="135"/>
      <c r="AT570" s="135"/>
      <c r="AU570" s="135"/>
      <c r="AV570" s="135"/>
      <c r="AW570" s="135"/>
      <c r="AX570" s="135"/>
      <c r="AY570" s="135"/>
      <c r="AZ570" s="135"/>
      <c r="BA570" s="135"/>
      <c r="BB570" s="135"/>
      <c r="BC570" s="135"/>
      <c r="BD570" s="135"/>
      <c r="BE570" s="135"/>
      <c r="BF570" s="135"/>
      <c r="BG570" s="135"/>
      <c r="BH570" s="135"/>
      <c r="BI570" s="135"/>
      <c r="BJ570" s="135"/>
      <c r="BK570" s="135"/>
      <c r="BL570" s="135"/>
      <c r="BM570" s="135"/>
      <c r="BN570" s="135"/>
      <c r="BO570" s="135"/>
      <c r="BP570" s="135"/>
      <c r="BQ570" s="135"/>
      <c r="BR570" s="135"/>
      <c r="BS570" s="135"/>
      <c r="BT570" s="135"/>
      <c r="BU570" s="135"/>
      <c r="BV570" s="135"/>
      <c r="BW570" s="135"/>
      <c r="BX570" s="135"/>
      <c r="BY570" s="135"/>
      <c r="BZ570" s="135"/>
      <c r="CA570" s="135"/>
      <c r="CB570" s="135"/>
      <c r="CC570" s="135"/>
      <c r="CD570" s="135"/>
      <c r="CE570" s="135"/>
      <c r="CF570" s="135"/>
      <c r="CG570" s="135"/>
      <c r="CH570" s="135"/>
      <c r="CI570" s="135"/>
      <c r="CJ570" s="135"/>
      <c r="CK570" s="135"/>
      <c r="CL570" s="135"/>
      <c r="CM570" s="135"/>
      <c r="CN570" s="135"/>
      <c r="CO570" s="135"/>
      <c r="CP570" s="135"/>
      <c r="CQ570" s="135"/>
      <c r="CR570" s="135"/>
      <c r="CS570" s="135"/>
      <c r="CT570" s="135"/>
      <c r="CU570" s="135"/>
      <c r="CV570" s="135"/>
      <c r="CW570" s="135"/>
      <c r="CX570" s="135"/>
      <c r="CY570" s="135"/>
      <c r="CZ570" s="135"/>
      <c r="DA570" s="135"/>
      <c r="DB570" s="135"/>
      <c r="DC570" s="135"/>
      <c r="DD570" s="135"/>
      <c r="DE570" s="135"/>
      <c r="DF570" s="135"/>
      <c r="DG570" s="135"/>
      <c r="DH570" s="135"/>
      <c r="DI570" s="135"/>
      <c r="DJ570" s="135"/>
      <c r="DK570" s="135"/>
      <c r="DL570" s="135"/>
      <c r="DM570" s="135"/>
      <c r="DN570" s="135"/>
      <c r="DO570" s="135"/>
      <c r="DP570" s="135"/>
      <c r="DQ570" s="135"/>
      <c r="DR570" s="135"/>
      <c r="DS570" s="135"/>
      <c r="DT570" s="135"/>
      <c r="DU570" s="135"/>
      <c r="DV570" s="135"/>
      <c r="DW570" s="135"/>
      <c r="DX570" s="135"/>
      <c r="DY570" s="135"/>
      <c r="DZ570" s="135"/>
      <c r="EA570" s="135"/>
      <c r="EB570" s="135"/>
      <c r="EC570" s="135"/>
      <c r="ED570" s="135"/>
      <c r="EE570" s="135"/>
      <c r="EF570" s="135"/>
      <c r="EG570" s="135"/>
      <c r="EH570" s="135"/>
      <c r="EI570" s="135"/>
      <c r="EJ570" s="135"/>
      <c r="EK570" s="135"/>
      <c r="EL570" s="135"/>
      <c r="EM570" s="135"/>
      <c r="EN570" s="135"/>
      <c r="EO570" s="135"/>
      <c r="EP570" s="135"/>
      <c r="EQ570" s="135"/>
      <c r="ER570" s="135"/>
      <c r="ES570" s="135"/>
      <c r="ET570" s="135"/>
      <c r="EU570" s="135"/>
      <c r="EV570" s="135"/>
      <c r="EW570" s="135"/>
    </row>
    <row r="571" spans="2:153" s="141" customFormat="1" x14ac:dyDescent="0.2">
      <c r="B571" s="134"/>
      <c r="C571" s="135"/>
      <c r="D571" s="136"/>
      <c r="E571" s="136"/>
      <c r="F571" s="137"/>
      <c r="G571" s="138"/>
      <c r="H571" s="138"/>
      <c r="I571" s="463"/>
      <c r="J571" s="134"/>
      <c r="K571" s="139"/>
      <c r="L571" s="140"/>
      <c r="N571" s="134"/>
      <c r="O571" s="134"/>
      <c r="P571" s="134"/>
      <c r="Q571" s="134"/>
      <c r="R571" s="140"/>
      <c r="S571" s="135"/>
      <c r="T571" s="135"/>
      <c r="U571" s="135"/>
      <c r="V571" s="135"/>
      <c r="W571" s="135"/>
      <c r="X571" s="135"/>
      <c r="Y571" s="135"/>
      <c r="Z571" s="135"/>
      <c r="AA571" s="135"/>
      <c r="AB571" s="135"/>
      <c r="AC571" s="135"/>
      <c r="AD571" s="135"/>
      <c r="AE571" s="135"/>
      <c r="AF571" s="135"/>
      <c r="AG571" s="135"/>
      <c r="AH571" s="135"/>
      <c r="AI571" s="135"/>
      <c r="AJ571" s="135"/>
      <c r="AK571" s="135"/>
      <c r="AL571" s="135"/>
      <c r="AM571" s="135"/>
      <c r="AN571" s="135"/>
      <c r="AO571" s="135"/>
      <c r="AP571" s="135"/>
      <c r="AQ571" s="135"/>
      <c r="AR571" s="135"/>
      <c r="AS571" s="135"/>
      <c r="AT571" s="135"/>
      <c r="AU571" s="135"/>
      <c r="AV571" s="135"/>
      <c r="AW571" s="135"/>
      <c r="AX571" s="135"/>
      <c r="AY571" s="135"/>
      <c r="AZ571" s="135"/>
      <c r="BA571" s="135"/>
      <c r="BB571" s="135"/>
      <c r="BC571" s="135"/>
      <c r="BD571" s="135"/>
      <c r="BE571" s="135"/>
      <c r="BF571" s="135"/>
      <c r="BG571" s="135"/>
      <c r="BH571" s="135"/>
      <c r="BI571" s="135"/>
      <c r="BJ571" s="135"/>
      <c r="BK571" s="135"/>
      <c r="BL571" s="135"/>
      <c r="BM571" s="135"/>
      <c r="BN571" s="135"/>
      <c r="BO571" s="135"/>
      <c r="BP571" s="135"/>
      <c r="BQ571" s="135"/>
      <c r="BR571" s="135"/>
      <c r="BS571" s="135"/>
      <c r="BT571" s="135"/>
      <c r="BU571" s="135"/>
      <c r="BV571" s="135"/>
      <c r="BW571" s="135"/>
      <c r="BX571" s="135"/>
      <c r="BY571" s="135"/>
      <c r="BZ571" s="135"/>
      <c r="CA571" s="135"/>
      <c r="CB571" s="135"/>
      <c r="CC571" s="135"/>
      <c r="CD571" s="135"/>
      <c r="CE571" s="135"/>
      <c r="CF571" s="135"/>
      <c r="CG571" s="135"/>
      <c r="CH571" s="135"/>
      <c r="CI571" s="135"/>
      <c r="CJ571" s="135"/>
      <c r="CK571" s="135"/>
      <c r="CL571" s="135"/>
      <c r="CM571" s="135"/>
      <c r="CN571" s="135"/>
      <c r="CO571" s="135"/>
      <c r="CP571" s="135"/>
      <c r="CQ571" s="135"/>
      <c r="CR571" s="135"/>
      <c r="CS571" s="135"/>
      <c r="CT571" s="135"/>
      <c r="CU571" s="135"/>
      <c r="CV571" s="135"/>
      <c r="CW571" s="135"/>
      <c r="CX571" s="135"/>
      <c r="CY571" s="135"/>
      <c r="CZ571" s="135"/>
      <c r="DA571" s="135"/>
      <c r="DB571" s="135"/>
      <c r="DC571" s="135"/>
      <c r="DD571" s="135"/>
      <c r="DE571" s="135"/>
      <c r="DF571" s="135"/>
      <c r="DG571" s="135"/>
      <c r="DH571" s="135"/>
      <c r="DI571" s="135"/>
      <c r="DJ571" s="135"/>
      <c r="DK571" s="135"/>
      <c r="DL571" s="135"/>
      <c r="DM571" s="135"/>
      <c r="DN571" s="135"/>
      <c r="DO571" s="135"/>
      <c r="DP571" s="135"/>
      <c r="DQ571" s="135"/>
      <c r="DR571" s="135"/>
      <c r="DS571" s="135"/>
      <c r="DT571" s="135"/>
      <c r="DU571" s="135"/>
      <c r="DV571" s="135"/>
      <c r="DW571" s="135"/>
      <c r="DX571" s="135"/>
      <c r="DY571" s="135"/>
      <c r="DZ571" s="135"/>
      <c r="EA571" s="135"/>
      <c r="EB571" s="135"/>
      <c r="EC571" s="135"/>
      <c r="ED571" s="135"/>
      <c r="EE571" s="135"/>
      <c r="EF571" s="135"/>
      <c r="EG571" s="135"/>
      <c r="EH571" s="135"/>
      <c r="EI571" s="135"/>
      <c r="EJ571" s="135"/>
      <c r="EK571" s="135"/>
      <c r="EL571" s="135"/>
      <c r="EM571" s="135"/>
      <c r="EN571" s="135"/>
      <c r="EO571" s="135"/>
      <c r="EP571" s="135"/>
      <c r="EQ571" s="135"/>
      <c r="ER571" s="135"/>
      <c r="ES571" s="135"/>
      <c r="ET571" s="135"/>
      <c r="EU571" s="135"/>
      <c r="EV571" s="135"/>
      <c r="EW571" s="135"/>
    </row>
    <row r="572" spans="2:153" s="141" customFormat="1" x14ac:dyDescent="0.2">
      <c r="B572" s="134"/>
      <c r="C572" s="135"/>
      <c r="D572" s="136"/>
      <c r="E572" s="136"/>
      <c r="F572" s="137"/>
      <c r="G572" s="138"/>
      <c r="H572" s="138"/>
      <c r="I572" s="463"/>
      <c r="J572" s="134"/>
      <c r="K572" s="139"/>
      <c r="L572" s="140"/>
      <c r="N572" s="134"/>
      <c r="O572" s="134"/>
      <c r="P572" s="134"/>
      <c r="Q572" s="134"/>
      <c r="R572" s="140"/>
      <c r="S572" s="135"/>
      <c r="T572" s="135"/>
      <c r="U572" s="135"/>
      <c r="V572" s="135"/>
      <c r="W572" s="135"/>
      <c r="X572" s="135"/>
      <c r="Y572" s="135"/>
      <c r="Z572" s="135"/>
      <c r="AA572" s="135"/>
      <c r="AB572" s="135"/>
      <c r="AC572" s="135"/>
      <c r="AD572" s="135"/>
      <c r="AE572" s="135"/>
      <c r="AF572" s="135"/>
      <c r="AG572" s="135"/>
      <c r="AH572" s="135"/>
      <c r="AI572" s="135"/>
      <c r="AJ572" s="135"/>
      <c r="AK572" s="135"/>
      <c r="AL572" s="135"/>
      <c r="AM572" s="135"/>
      <c r="AN572" s="135"/>
      <c r="AO572" s="135"/>
      <c r="AP572" s="135"/>
      <c r="AQ572" s="135"/>
      <c r="AR572" s="135"/>
      <c r="AS572" s="135"/>
      <c r="AT572" s="135"/>
      <c r="AU572" s="135"/>
      <c r="AV572" s="135"/>
      <c r="AW572" s="135"/>
      <c r="AX572" s="135"/>
      <c r="AY572" s="135"/>
      <c r="AZ572" s="135"/>
      <c r="BA572" s="135"/>
      <c r="BB572" s="135"/>
      <c r="BC572" s="135"/>
      <c r="BD572" s="135"/>
      <c r="BE572" s="135"/>
      <c r="BF572" s="135"/>
      <c r="BG572" s="135"/>
      <c r="BH572" s="135"/>
      <c r="BI572" s="135"/>
      <c r="BJ572" s="135"/>
      <c r="BK572" s="135"/>
      <c r="BL572" s="135"/>
      <c r="BM572" s="135"/>
      <c r="BN572" s="135"/>
      <c r="BO572" s="135"/>
      <c r="BP572" s="135"/>
      <c r="BQ572" s="135"/>
      <c r="BR572" s="135"/>
      <c r="BS572" s="135"/>
      <c r="BT572" s="135"/>
      <c r="BU572" s="135"/>
      <c r="BV572" s="135"/>
      <c r="BW572" s="135"/>
      <c r="BX572" s="135"/>
      <c r="BY572" s="135"/>
      <c r="BZ572" s="135"/>
      <c r="CA572" s="135"/>
      <c r="CB572" s="135"/>
      <c r="CC572" s="135"/>
      <c r="CD572" s="135"/>
      <c r="CE572" s="135"/>
      <c r="CF572" s="135"/>
      <c r="CG572" s="135"/>
      <c r="CH572" s="135"/>
      <c r="CI572" s="135"/>
      <c r="CJ572" s="135"/>
      <c r="CK572" s="135"/>
      <c r="CL572" s="135"/>
      <c r="CM572" s="135"/>
      <c r="CN572" s="135"/>
      <c r="CO572" s="135"/>
      <c r="CP572" s="135"/>
      <c r="CQ572" s="135"/>
      <c r="CR572" s="135"/>
      <c r="CS572" s="135"/>
      <c r="CT572" s="135"/>
      <c r="CU572" s="135"/>
      <c r="CV572" s="135"/>
      <c r="CW572" s="135"/>
      <c r="CX572" s="135"/>
      <c r="CY572" s="135"/>
      <c r="CZ572" s="135"/>
      <c r="DA572" s="135"/>
      <c r="DB572" s="135"/>
      <c r="DC572" s="135"/>
      <c r="DD572" s="135"/>
      <c r="DE572" s="135"/>
      <c r="DF572" s="135"/>
      <c r="DG572" s="135"/>
      <c r="DH572" s="135"/>
      <c r="DI572" s="135"/>
      <c r="DJ572" s="135"/>
      <c r="DK572" s="135"/>
      <c r="DL572" s="135"/>
      <c r="DM572" s="135"/>
      <c r="DN572" s="135"/>
      <c r="DO572" s="135"/>
      <c r="DP572" s="135"/>
      <c r="DQ572" s="135"/>
      <c r="DR572" s="135"/>
      <c r="DS572" s="135"/>
      <c r="DT572" s="135"/>
      <c r="DU572" s="135"/>
      <c r="DV572" s="135"/>
      <c r="DW572" s="135"/>
      <c r="DX572" s="135"/>
      <c r="DY572" s="135"/>
      <c r="DZ572" s="135"/>
      <c r="EA572" s="135"/>
      <c r="EB572" s="135"/>
      <c r="EC572" s="135"/>
      <c r="ED572" s="135"/>
      <c r="EE572" s="135"/>
      <c r="EF572" s="135"/>
      <c r="EG572" s="135"/>
      <c r="EH572" s="135"/>
      <c r="EI572" s="135"/>
      <c r="EJ572" s="135"/>
      <c r="EK572" s="135"/>
      <c r="EL572" s="135"/>
      <c r="EM572" s="135"/>
      <c r="EN572" s="135"/>
      <c r="EO572" s="135"/>
      <c r="EP572" s="135"/>
      <c r="EQ572" s="135"/>
      <c r="ER572" s="135"/>
      <c r="ES572" s="135"/>
      <c r="ET572" s="135"/>
      <c r="EU572" s="135"/>
      <c r="EV572" s="135"/>
      <c r="EW572" s="135"/>
    </row>
  </sheetData>
  <conditionalFormatting sqref="D394:E398">
    <cfRule type="cellIs" dxfId="5" priority="5" operator="equal">
      <formula>".."</formula>
    </cfRule>
  </conditionalFormatting>
  <conditionalFormatting sqref="D391:E391">
    <cfRule type="cellIs" dxfId="4" priority="4" operator="equal">
      <formula>".."</formula>
    </cfRule>
  </conditionalFormatting>
  <conditionalFormatting sqref="D392:E392">
    <cfRule type="cellIs" dxfId="3" priority="3" operator="equal">
      <formula>".."</formula>
    </cfRule>
  </conditionalFormatting>
  <conditionalFormatting sqref="D393:E393">
    <cfRule type="cellIs" dxfId="2" priority="2" operator="equal">
      <formula>".."</formula>
    </cfRule>
  </conditionalFormatting>
  <conditionalFormatting sqref="D399:E400">
    <cfRule type="cellIs" dxfId="1" priority="1" operator="equal">
      <formula>".."</formula>
    </cfRule>
  </conditionalFormatting>
  <pageMargins left="0.31496062992125984" right="0.31496062992125984" top="0.35433070866141736" bottom="0.35433070866141736" header="0" footer="0"/>
  <pageSetup paperSize="9" scale="6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0"/>
  <sheetViews>
    <sheetView zoomScale="75" zoomScaleNormal="75" workbookViewId="0">
      <selection activeCell="B4" sqref="B4"/>
    </sheetView>
  </sheetViews>
  <sheetFormatPr baseColWidth="10" defaultColWidth="13.7109375" defaultRowHeight="15" x14ac:dyDescent="0.25"/>
  <cols>
    <col min="1" max="1" width="35.42578125" style="63" customWidth="1"/>
    <col min="2" max="2" width="212.28515625" style="63" customWidth="1"/>
    <col min="3" max="3" width="46.28515625" style="63" customWidth="1"/>
    <col min="4" max="10" width="10.42578125" style="63" customWidth="1"/>
    <col min="11" max="16384" width="13.7109375" style="63"/>
  </cols>
  <sheetData>
    <row r="1" spans="1:26" ht="24" thickBot="1" x14ac:dyDescent="0.4">
      <c r="B1" s="883" t="s">
        <v>4701</v>
      </c>
    </row>
    <row r="2" spans="1:26" ht="15.75" customHeight="1" thickBot="1" x14ac:dyDescent="0.3">
      <c r="A2" s="409" t="s">
        <v>2130</v>
      </c>
      <c r="B2" s="409" t="s">
        <v>2131</v>
      </c>
      <c r="C2" s="410" t="s">
        <v>2132</v>
      </c>
      <c r="D2" s="77"/>
      <c r="E2" s="77"/>
      <c r="F2" s="77"/>
      <c r="G2" s="77"/>
      <c r="H2" s="77"/>
      <c r="I2" s="77"/>
      <c r="J2" s="77"/>
    </row>
    <row r="3" spans="1:26" s="89" customFormat="1" ht="33.75" customHeight="1" x14ac:dyDescent="0.25">
      <c r="A3" s="913" t="s">
        <v>2504</v>
      </c>
      <c r="B3" s="912" t="s">
        <v>2506</v>
      </c>
      <c r="C3" s="127" t="s">
        <v>2505</v>
      </c>
      <c r="D3" s="93"/>
      <c r="E3" s="93"/>
      <c r="F3" s="93"/>
      <c r="G3" s="93"/>
      <c r="H3" s="93"/>
      <c r="I3" s="93"/>
      <c r="J3" s="93"/>
    </row>
    <row r="4" spans="1:26" ht="15.75" customHeight="1" x14ac:dyDescent="0.25">
      <c r="A4" s="77" t="s">
        <v>842</v>
      </c>
      <c r="B4" s="77" t="s">
        <v>2133</v>
      </c>
      <c r="C4" s="78" t="s">
        <v>2134</v>
      </c>
      <c r="D4" s="77"/>
      <c r="E4" s="77"/>
      <c r="F4" s="77"/>
      <c r="G4" s="77"/>
      <c r="H4" s="77"/>
      <c r="I4" s="77"/>
      <c r="J4" s="77"/>
    </row>
    <row r="5" spans="1:26" ht="15.75" customHeight="1" x14ac:dyDescent="0.25">
      <c r="A5" s="77" t="s">
        <v>1517</v>
      </c>
      <c r="B5" s="77" t="s">
        <v>2135</v>
      </c>
      <c r="C5" s="78" t="s">
        <v>2136</v>
      </c>
      <c r="D5" s="77"/>
      <c r="E5" s="77"/>
      <c r="F5" s="77"/>
      <c r="G5" s="77"/>
      <c r="H5" s="77"/>
      <c r="I5" s="77"/>
      <c r="J5" s="77"/>
    </row>
    <row r="6" spans="1:26" ht="15.75" customHeight="1" x14ac:dyDescent="0.25">
      <c r="A6" s="77" t="s">
        <v>2096</v>
      </c>
      <c r="B6" s="77" t="s">
        <v>2137</v>
      </c>
      <c r="C6" s="78" t="s">
        <v>2138</v>
      </c>
      <c r="D6" s="77"/>
      <c r="E6" s="77"/>
      <c r="F6" s="77"/>
      <c r="G6" s="77"/>
      <c r="H6" s="77"/>
      <c r="I6" s="77"/>
      <c r="J6" s="77"/>
    </row>
    <row r="7" spans="1:26" ht="15.75" customHeight="1" x14ac:dyDescent="0.25">
      <c r="A7" s="77" t="s">
        <v>2295</v>
      </c>
      <c r="B7" s="77" t="s">
        <v>2250</v>
      </c>
      <c r="C7" s="79" t="s">
        <v>2251</v>
      </c>
      <c r="D7" s="77"/>
      <c r="E7" s="77"/>
      <c r="F7" s="77"/>
      <c r="G7" s="77"/>
      <c r="H7" s="77"/>
      <c r="J7" s="86"/>
      <c r="K7" s="84"/>
      <c r="L7" s="84"/>
      <c r="M7" s="84"/>
      <c r="N7" s="84"/>
      <c r="O7" s="84"/>
      <c r="P7" s="84"/>
      <c r="Q7" s="84"/>
      <c r="R7" s="77"/>
      <c r="S7" s="77"/>
      <c r="T7" s="77"/>
      <c r="U7" s="77"/>
      <c r="V7" s="77"/>
      <c r="W7" s="77"/>
      <c r="X7" s="77"/>
      <c r="Y7" s="77"/>
      <c r="Z7" s="77"/>
    </row>
    <row r="8" spans="1:26" ht="15.75" customHeight="1" x14ac:dyDescent="0.25">
      <c r="A8" s="77" t="s">
        <v>1430</v>
      </c>
      <c r="B8" s="77" t="s">
        <v>2139</v>
      </c>
      <c r="C8" s="79" t="s">
        <v>2140</v>
      </c>
      <c r="D8" s="77"/>
      <c r="E8" s="77"/>
      <c r="F8" s="77"/>
      <c r="G8" s="77"/>
      <c r="H8" s="77"/>
      <c r="I8" s="77"/>
      <c r="J8" s="77"/>
    </row>
    <row r="9" spans="1:26" ht="15.75" customHeight="1" x14ac:dyDescent="0.25">
      <c r="A9" s="77" t="s">
        <v>1535</v>
      </c>
      <c r="B9" s="77" t="s">
        <v>2141</v>
      </c>
      <c r="C9" s="79" t="s">
        <v>2142</v>
      </c>
      <c r="D9" s="77"/>
      <c r="E9" s="77"/>
      <c r="F9" s="77"/>
      <c r="G9" s="77"/>
      <c r="H9" s="77"/>
      <c r="I9" s="77"/>
      <c r="J9" s="77"/>
    </row>
    <row r="10" spans="1:26" ht="15.75" customHeight="1" x14ac:dyDescent="0.25">
      <c r="A10" s="77" t="s">
        <v>406</v>
      </c>
      <c r="B10" s="77" t="s">
        <v>2143</v>
      </c>
      <c r="C10" s="80" t="s">
        <v>2144</v>
      </c>
      <c r="D10" s="77"/>
      <c r="E10" s="77"/>
      <c r="F10" s="77"/>
      <c r="G10" s="77"/>
      <c r="H10" s="77"/>
      <c r="I10" s="77"/>
      <c r="J10" s="77"/>
    </row>
    <row r="11" spans="1:26" ht="34.5" customHeight="1" x14ac:dyDescent="0.25">
      <c r="A11" s="909" t="s">
        <v>1419</v>
      </c>
      <c r="B11" s="914" t="s">
        <v>4321</v>
      </c>
      <c r="C11" s="79" t="s">
        <v>2145</v>
      </c>
      <c r="D11" s="77"/>
      <c r="E11" s="77"/>
      <c r="F11" s="77"/>
      <c r="G11" s="77"/>
      <c r="H11" s="77"/>
      <c r="I11" s="77"/>
      <c r="J11" s="77"/>
    </row>
    <row r="12" spans="1:26" ht="33" customHeight="1" x14ac:dyDescent="0.25">
      <c r="A12" s="909" t="s">
        <v>1369</v>
      </c>
      <c r="B12" s="302" t="s">
        <v>2146</v>
      </c>
      <c r="C12" s="79" t="s">
        <v>2147</v>
      </c>
      <c r="D12" s="77"/>
      <c r="E12" s="77"/>
      <c r="F12" s="77"/>
      <c r="G12" s="77"/>
      <c r="H12" s="77"/>
      <c r="I12" s="77"/>
      <c r="J12" s="77"/>
    </row>
    <row r="13" spans="1:26" ht="15.75" customHeight="1" x14ac:dyDescent="0.25">
      <c r="A13" s="77" t="s">
        <v>1504</v>
      </c>
      <c r="B13" s="77" t="s">
        <v>2148</v>
      </c>
      <c r="C13" s="79" t="s">
        <v>2149</v>
      </c>
      <c r="D13" s="77"/>
      <c r="E13" s="77"/>
      <c r="F13" s="77"/>
      <c r="G13" s="77"/>
      <c r="H13" s="77"/>
      <c r="I13" s="77"/>
      <c r="J13" s="77"/>
    </row>
    <row r="14" spans="1:26" ht="31.5" customHeight="1" x14ac:dyDescent="0.25">
      <c r="A14" s="910" t="s">
        <v>1667</v>
      </c>
      <c r="B14" s="302" t="s">
        <v>4607</v>
      </c>
      <c r="C14" s="79"/>
      <c r="D14" s="77"/>
      <c r="E14" s="77"/>
      <c r="F14" s="77"/>
      <c r="G14" s="77"/>
      <c r="H14" s="77"/>
      <c r="I14" s="77"/>
      <c r="J14" s="77"/>
    </row>
    <row r="15" spans="1:26" ht="15.75" customHeight="1" x14ac:dyDescent="0.25">
      <c r="A15" s="77" t="s">
        <v>1662</v>
      </c>
      <c r="B15" s="77" t="s">
        <v>2150</v>
      </c>
      <c r="C15" s="79" t="s">
        <v>2151</v>
      </c>
      <c r="D15" s="77"/>
      <c r="E15" s="77"/>
      <c r="F15" s="77"/>
      <c r="G15" s="77"/>
      <c r="H15" s="77"/>
      <c r="I15" s="77"/>
      <c r="J15" s="77"/>
    </row>
    <row r="16" spans="1:26" ht="15.75" customHeight="1" x14ac:dyDescent="0.25">
      <c r="A16" s="77" t="s">
        <v>1840</v>
      </c>
      <c r="B16" s="77" t="s">
        <v>2152</v>
      </c>
      <c r="C16" s="78" t="s">
        <v>2153</v>
      </c>
      <c r="D16" s="77"/>
      <c r="E16" s="77"/>
      <c r="F16" s="77"/>
      <c r="G16" s="77"/>
      <c r="H16" s="77"/>
      <c r="I16" s="77"/>
      <c r="J16" s="77"/>
    </row>
    <row r="17" spans="1:19" ht="33.75" customHeight="1" x14ac:dyDescent="0.25">
      <c r="A17" s="909" t="s">
        <v>1735</v>
      </c>
      <c r="B17" s="302" t="s">
        <v>2154</v>
      </c>
      <c r="C17" s="78" t="s">
        <v>2155</v>
      </c>
      <c r="D17" s="77"/>
      <c r="E17" s="77"/>
      <c r="F17" s="77"/>
      <c r="G17" s="77"/>
      <c r="H17" s="77"/>
      <c r="I17" s="77"/>
      <c r="J17" s="77"/>
    </row>
    <row r="18" spans="1:19" ht="15.75" customHeight="1" x14ac:dyDescent="0.25">
      <c r="A18" s="77" t="s">
        <v>686</v>
      </c>
      <c r="B18" s="77" t="s">
        <v>2156</v>
      </c>
      <c r="C18" s="78" t="s">
        <v>2157</v>
      </c>
      <c r="D18" s="77"/>
      <c r="E18" s="77"/>
      <c r="F18" s="77"/>
      <c r="G18" s="77"/>
      <c r="H18" s="77"/>
      <c r="I18" s="77"/>
      <c r="J18" s="77"/>
    </row>
    <row r="19" spans="1:19" ht="15.75" customHeight="1" x14ac:dyDescent="0.25">
      <c r="A19" s="77" t="s">
        <v>2261</v>
      </c>
      <c r="B19" s="77" t="s">
        <v>2262</v>
      </c>
      <c r="C19" s="78" t="s">
        <v>2263</v>
      </c>
      <c r="D19" s="77"/>
      <c r="E19" s="77"/>
      <c r="F19" s="77"/>
      <c r="G19" s="77"/>
      <c r="H19" s="77"/>
      <c r="I19" s="77"/>
      <c r="J19" s="77"/>
    </row>
    <row r="20" spans="1:19" ht="15.75" customHeight="1" x14ac:dyDescent="0.25">
      <c r="A20" s="77" t="s">
        <v>1774</v>
      </c>
      <c r="B20" s="77" t="s">
        <v>2158</v>
      </c>
      <c r="C20" s="78" t="s">
        <v>2159</v>
      </c>
      <c r="D20" s="77"/>
      <c r="E20" s="77"/>
      <c r="F20" s="77"/>
      <c r="G20" s="77"/>
      <c r="H20" s="77"/>
      <c r="I20" s="77"/>
      <c r="J20" s="77"/>
    </row>
    <row r="21" spans="1:19" ht="15.75" customHeight="1" x14ac:dyDescent="0.25">
      <c r="A21" s="77" t="s">
        <v>1267</v>
      </c>
      <c r="B21" s="77" t="s">
        <v>2160</v>
      </c>
      <c r="C21" s="78" t="s">
        <v>2161</v>
      </c>
      <c r="D21" s="77"/>
      <c r="E21" s="77"/>
      <c r="F21" s="77"/>
      <c r="G21" s="77"/>
      <c r="H21" s="77"/>
      <c r="I21" s="77"/>
      <c r="J21" s="77"/>
    </row>
    <row r="22" spans="1:19" ht="30.75" customHeight="1" x14ac:dyDescent="0.25">
      <c r="A22" s="909" t="s">
        <v>1466</v>
      </c>
      <c r="B22" s="302" t="s">
        <v>2162</v>
      </c>
      <c r="C22" s="78" t="s">
        <v>2163</v>
      </c>
      <c r="D22" s="77"/>
      <c r="E22" s="77"/>
      <c r="F22" s="77"/>
      <c r="G22" s="77"/>
      <c r="H22" s="77"/>
      <c r="I22" s="77"/>
      <c r="J22" s="77"/>
    </row>
    <row r="23" spans="1:19" ht="15.75" customHeight="1" x14ac:dyDescent="0.25">
      <c r="A23" s="77" t="s">
        <v>2082</v>
      </c>
      <c r="B23" s="77" t="s">
        <v>2164</v>
      </c>
      <c r="C23" s="78" t="s">
        <v>2165</v>
      </c>
      <c r="D23" s="77"/>
      <c r="E23" s="77"/>
      <c r="F23" s="77"/>
      <c r="G23" s="77"/>
      <c r="H23" s="77"/>
      <c r="I23" s="77"/>
      <c r="J23" s="77"/>
    </row>
    <row r="24" spans="1:19" ht="15.75" customHeight="1" x14ac:dyDescent="0.25">
      <c r="A24" s="77" t="s">
        <v>376</v>
      </c>
      <c r="B24" s="93" t="s">
        <v>2242</v>
      </c>
      <c r="C24" s="94" t="s">
        <v>2243</v>
      </c>
      <c r="D24" s="84"/>
      <c r="E24" s="84"/>
      <c r="F24" s="84"/>
      <c r="G24" s="84"/>
      <c r="H24" s="84"/>
      <c r="I24" s="84"/>
      <c r="J24" s="84"/>
      <c r="K24" s="77"/>
      <c r="L24" s="77"/>
      <c r="M24" s="77"/>
      <c r="N24" s="77"/>
      <c r="O24" s="77"/>
      <c r="P24" s="77"/>
      <c r="Q24" s="77"/>
      <c r="R24" s="77"/>
      <c r="S24" s="77"/>
    </row>
    <row r="25" spans="1:19" ht="30.75" customHeight="1" x14ac:dyDescent="0.25">
      <c r="A25" s="909" t="s">
        <v>1402</v>
      </c>
      <c r="B25" s="302" t="s">
        <v>2166</v>
      </c>
      <c r="C25" s="78" t="s">
        <v>2167</v>
      </c>
      <c r="D25" s="77"/>
      <c r="E25" s="77"/>
      <c r="F25" s="77"/>
      <c r="G25" s="77"/>
      <c r="H25" s="77"/>
      <c r="I25" s="77"/>
      <c r="J25" s="77"/>
    </row>
    <row r="26" spans="1:19" ht="30" customHeight="1" x14ac:dyDescent="0.25">
      <c r="A26" s="909" t="s">
        <v>1695</v>
      </c>
      <c r="B26" s="302" t="s">
        <v>2168</v>
      </c>
      <c r="C26" s="78" t="s">
        <v>2169</v>
      </c>
      <c r="D26" s="77"/>
      <c r="E26" s="77"/>
      <c r="F26" s="77"/>
      <c r="G26" s="77"/>
      <c r="H26" s="77"/>
      <c r="I26" s="77"/>
      <c r="J26" s="77"/>
    </row>
    <row r="27" spans="1:19" ht="30.75" customHeight="1" x14ac:dyDescent="0.25">
      <c r="A27" s="909" t="s">
        <v>1637</v>
      </c>
      <c r="B27" s="302" t="s">
        <v>2170</v>
      </c>
      <c r="C27" s="78" t="s">
        <v>2171</v>
      </c>
      <c r="D27" s="77"/>
      <c r="E27" s="77"/>
      <c r="F27" s="77"/>
      <c r="G27" s="77"/>
      <c r="H27" s="77"/>
      <c r="I27" s="77"/>
      <c r="J27" s="77"/>
    </row>
    <row r="28" spans="1:19" ht="15.75" customHeight="1" x14ac:dyDescent="0.25">
      <c r="A28" s="77" t="s">
        <v>379</v>
      </c>
      <c r="B28" s="77" t="s">
        <v>2172</v>
      </c>
      <c r="C28" s="78" t="s">
        <v>2173</v>
      </c>
      <c r="D28" s="77"/>
      <c r="E28" s="77"/>
      <c r="F28" s="77"/>
      <c r="G28" s="77"/>
      <c r="H28" s="77"/>
      <c r="I28" s="77"/>
      <c r="J28" s="77"/>
    </row>
    <row r="29" spans="1:19" ht="33" customHeight="1" x14ac:dyDescent="0.25">
      <c r="A29" s="910" t="s">
        <v>1334</v>
      </c>
      <c r="B29" s="302" t="s">
        <v>2174</v>
      </c>
      <c r="C29" s="78" t="s">
        <v>2175</v>
      </c>
      <c r="D29" s="77"/>
      <c r="E29" s="77"/>
      <c r="F29" s="77"/>
      <c r="G29" s="77"/>
      <c r="H29" s="77"/>
      <c r="I29" s="77"/>
      <c r="J29" s="77"/>
    </row>
    <row r="30" spans="1:19" ht="33.75" customHeight="1" x14ac:dyDescent="0.25">
      <c r="A30" s="909" t="s">
        <v>1950</v>
      </c>
      <c r="B30" s="302" t="s">
        <v>2176</v>
      </c>
      <c r="C30" s="78" t="s">
        <v>2177</v>
      </c>
      <c r="D30" s="77"/>
      <c r="E30" s="77"/>
      <c r="F30" s="77"/>
      <c r="G30" s="77"/>
      <c r="H30" s="77"/>
      <c r="I30" s="77"/>
      <c r="J30" s="77"/>
    </row>
    <row r="31" spans="1:19" ht="15.75" customHeight="1" x14ac:dyDescent="0.25">
      <c r="A31" s="77" t="s">
        <v>391</v>
      </c>
      <c r="B31" s="77" t="s">
        <v>2178</v>
      </c>
      <c r="C31" s="82" t="s">
        <v>2179</v>
      </c>
      <c r="D31" s="77"/>
      <c r="E31" s="77"/>
      <c r="F31" s="77"/>
      <c r="G31" s="77"/>
      <c r="H31" s="77"/>
      <c r="I31" s="77"/>
      <c r="J31" s="77"/>
    </row>
    <row r="32" spans="1:19" customFormat="1" ht="15.75" x14ac:dyDescent="0.25">
      <c r="A32" s="34" t="s">
        <v>4082</v>
      </c>
      <c r="B32" s="34" t="s">
        <v>2249</v>
      </c>
      <c r="C32" s="80" t="s">
        <v>2247</v>
      </c>
      <c r="D32" s="63"/>
      <c r="E32" s="80"/>
      <c r="F32" s="9"/>
      <c r="G32" s="9"/>
      <c r="H32" s="9"/>
      <c r="I32" s="9"/>
      <c r="J32" s="9"/>
      <c r="K32" s="9"/>
      <c r="L32" s="9"/>
    </row>
    <row r="33" spans="1:25" s="34" customFormat="1" ht="15.75" x14ac:dyDescent="0.25">
      <c r="A33" s="304" t="s">
        <v>3996</v>
      </c>
      <c r="B33" s="305" t="s">
        <v>3999</v>
      </c>
      <c r="C33" s="82"/>
      <c r="D33" s="306"/>
      <c r="E33" s="82"/>
      <c r="F33" s="307"/>
      <c r="G33" s="307"/>
      <c r="H33" s="307"/>
      <c r="I33" s="307"/>
      <c r="J33" s="307"/>
      <c r="K33" s="307"/>
      <c r="L33" s="307"/>
    </row>
    <row r="34" spans="1:25" ht="15.75" customHeight="1" x14ac:dyDescent="0.25">
      <c r="A34" s="77" t="s">
        <v>1305</v>
      </c>
      <c r="B34" s="77" t="s">
        <v>2180</v>
      </c>
      <c r="C34" s="78" t="s">
        <v>2181</v>
      </c>
      <c r="D34" s="77"/>
      <c r="E34" s="77"/>
      <c r="F34" s="77"/>
      <c r="G34" s="77"/>
      <c r="H34" s="77"/>
      <c r="I34" s="77"/>
      <c r="J34" s="77"/>
    </row>
    <row r="35" spans="1:25" ht="15.75" customHeight="1" x14ac:dyDescent="0.25">
      <c r="A35" s="77" t="s">
        <v>2246</v>
      </c>
      <c r="B35" s="77" t="s">
        <v>2182</v>
      </c>
      <c r="C35" s="80" t="s">
        <v>2183</v>
      </c>
      <c r="D35" s="77"/>
      <c r="E35" s="77"/>
      <c r="F35" s="77"/>
      <c r="G35" s="77"/>
      <c r="H35" s="77"/>
      <c r="I35" s="77"/>
      <c r="J35" s="77"/>
    </row>
    <row r="36" spans="1:25" ht="15.75" customHeight="1" x14ac:dyDescent="0.25">
      <c r="A36" s="77" t="s">
        <v>2184</v>
      </c>
      <c r="B36" s="77" t="s">
        <v>2268</v>
      </c>
      <c r="C36" s="80" t="s">
        <v>2185</v>
      </c>
      <c r="D36" s="77"/>
      <c r="E36" s="77"/>
      <c r="F36" s="77"/>
      <c r="G36" s="77"/>
      <c r="H36" s="77"/>
      <c r="I36" s="77"/>
      <c r="J36" s="77"/>
    </row>
    <row r="37" spans="1:25" ht="15.75" customHeight="1" x14ac:dyDescent="0.25">
      <c r="A37" s="77" t="s">
        <v>1570</v>
      </c>
      <c r="B37" s="77" t="s">
        <v>2186</v>
      </c>
      <c r="C37" s="80" t="s">
        <v>2187</v>
      </c>
      <c r="D37" s="77"/>
      <c r="E37" s="77"/>
      <c r="F37" s="77"/>
      <c r="G37" s="77"/>
      <c r="H37" s="77"/>
      <c r="I37" s="77"/>
      <c r="J37" s="77"/>
    </row>
    <row r="38" spans="1:25" ht="15.75" customHeight="1" x14ac:dyDescent="0.25">
      <c r="A38" s="77" t="s">
        <v>2271</v>
      </c>
      <c r="B38" s="302" t="s">
        <v>2270</v>
      </c>
      <c r="C38" s="78" t="s">
        <v>2269</v>
      </c>
      <c r="D38" s="77"/>
      <c r="E38" s="77"/>
      <c r="F38" s="77"/>
      <c r="G38" s="77"/>
      <c r="I38" s="78"/>
      <c r="J38" s="84"/>
      <c r="K38" s="84"/>
      <c r="L38" s="84"/>
      <c r="M38" s="84"/>
      <c r="N38" s="84"/>
      <c r="O38" s="84"/>
      <c r="P38" s="84"/>
      <c r="Q38" s="77"/>
      <c r="R38" s="77"/>
      <c r="S38" s="77"/>
      <c r="T38" s="77"/>
      <c r="U38" s="77"/>
      <c r="V38" s="77"/>
      <c r="W38" s="77"/>
      <c r="X38" s="77"/>
      <c r="Y38" s="77"/>
    </row>
    <row r="39" spans="1:25" ht="15.75" customHeight="1" x14ac:dyDescent="0.25">
      <c r="A39" s="77" t="s">
        <v>1767</v>
      </c>
      <c r="B39" s="77" t="s">
        <v>2188</v>
      </c>
      <c r="C39" s="78" t="s">
        <v>2189</v>
      </c>
    </row>
    <row r="40" spans="1:25" ht="15.6" customHeight="1" x14ac:dyDescent="0.25">
      <c r="A40" s="77" t="s">
        <v>4608</v>
      </c>
      <c r="B40" s="77" t="s">
        <v>4609</v>
      </c>
      <c r="C40" s="78" t="s">
        <v>2276</v>
      </c>
      <c r="D40" s="77"/>
      <c r="E40" s="77"/>
      <c r="F40" s="77"/>
      <c r="G40" s="77"/>
      <c r="I40" s="81"/>
      <c r="J40" s="84"/>
      <c r="K40" s="84"/>
      <c r="L40" s="84"/>
      <c r="M40" s="84"/>
      <c r="N40" s="84"/>
      <c r="O40" s="84"/>
      <c r="P40" s="84"/>
      <c r="Q40" s="77"/>
      <c r="R40" s="77"/>
      <c r="S40" s="77"/>
      <c r="T40" s="77"/>
      <c r="U40" s="77"/>
      <c r="V40" s="77"/>
      <c r="W40" s="77"/>
      <c r="X40" s="77"/>
      <c r="Y40" s="77"/>
    </row>
    <row r="41" spans="1:25" ht="15.75" customHeight="1" x14ac:dyDescent="0.25">
      <c r="A41" s="77" t="s">
        <v>2244</v>
      </c>
      <c r="B41" s="77" t="s">
        <v>2245</v>
      </c>
      <c r="C41" s="78" t="s">
        <v>2191</v>
      </c>
      <c r="D41" s="77"/>
      <c r="E41" s="77"/>
      <c r="F41" s="77"/>
      <c r="G41" s="77"/>
      <c r="H41" s="77"/>
      <c r="I41" s="77"/>
      <c r="J41" s="77"/>
    </row>
    <row r="42" spans="1:25" s="89" customFormat="1" ht="15.75" customHeight="1" x14ac:dyDescent="0.25">
      <c r="A42" s="93" t="s">
        <v>1405</v>
      </c>
      <c r="B42" s="93" t="s">
        <v>2190</v>
      </c>
      <c r="C42" s="96" t="s">
        <v>2193</v>
      </c>
      <c r="D42" s="93"/>
      <c r="E42" s="93"/>
      <c r="F42" s="93"/>
      <c r="G42" s="93"/>
      <c r="H42" s="93"/>
      <c r="I42" s="93"/>
      <c r="J42" s="93"/>
    </row>
    <row r="43" spans="1:25" ht="33" customHeight="1" x14ac:dyDescent="0.25">
      <c r="A43" s="910" t="s">
        <v>1746</v>
      </c>
      <c r="B43" s="302" t="s">
        <v>2192</v>
      </c>
      <c r="C43" s="83"/>
      <c r="D43" s="77"/>
      <c r="E43" s="77"/>
      <c r="F43" s="77"/>
      <c r="G43" s="77"/>
      <c r="H43" s="77"/>
      <c r="I43" s="77"/>
      <c r="J43" s="77"/>
    </row>
    <row r="44" spans="1:25" ht="15.75" customHeight="1" x14ac:dyDescent="0.25">
      <c r="A44" s="77" t="s">
        <v>1997</v>
      </c>
      <c r="B44" s="77" t="s">
        <v>2194</v>
      </c>
      <c r="C44" s="80" t="s">
        <v>2195</v>
      </c>
      <c r="D44" s="77"/>
      <c r="E44" s="77"/>
      <c r="F44" s="77"/>
      <c r="G44" s="77"/>
      <c r="H44" s="77"/>
      <c r="I44" s="77"/>
      <c r="J44" s="77"/>
    </row>
    <row r="45" spans="1:25" ht="15.75" customHeight="1" x14ac:dyDescent="0.25">
      <c r="A45" s="77" t="s">
        <v>382</v>
      </c>
      <c r="B45" s="77" t="s">
        <v>2196</v>
      </c>
      <c r="C45" s="82" t="s">
        <v>2197</v>
      </c>
      <c r="D45" s="77"/>
      <c r="E45" s="77"/>
      <c r="F45" s="77"/>
      <c r="G45" s="77"/>
      <c r="H45" s="77"/>
      <c r="I45" s="77"/>
      <c r="J45" s="77"/>
    </row>
    <row r="46" spans="1:25" ht="18" customHeight="1" x14ac:dyDescent="0.25">
      <c r="A46" s="910" t="s">
        <v>2297</v>
      </c>
      <c r="B46" s="911" t="s">
        <v>4334</v>
      </c>
      <c r="C46" s="83" t="s">
        <v>2198</v>
      </c>
      <c r="D46" s="77"/>
      <c r="E46" s="77"/>
      <c r="F46" s="77"/>
      <c r="G46" s="77"/>
      <c r="H46" s="77"/>
      <c r="I46" s="77"/>
      <c r="J46" s="77"/>
    </row>
    <row r="47" spans="1:25" ht="15.75" customHeight="1" x14ac:dyDescent="0.25">
      <c r="A47" s="77" t="s">
        <v>545</v>
      </c>
      <c r="B47" s="77" t="s">
        <v>2199</v>
      </c>
      <c r="C47" s="78" t="s">
        <v>2200</v>
      </c>
      <c r="D47" s="77"/>
      <c r="E47" s="77"/>
      <c r="F47" s="77"/>
      <c r="G47" s="77"/>
      <c r="H47" s="77"/>
      <c r="I47" s="77"/>
      <c r="J47" s="77"/>
    </row>
    <row r="48" spans="1:25" ht="15.75" customHeight="1" x14ac:dyDescent="0.25">
      <c r="A48" s="77" t="s">
        <v>1612</v>
      </c>
      <c r="B48" s="77" t="s">
        <v>2201</v>
      </c>
      <c r="C48" s="78" t="s">
        <v>2202</v>
      </c>
      <c r="D48" s="77"/>
      <c r="E48" s="77"/>
      <c r="F48" s="77"/>
      <c r="G48" s="77"/>
      <c r="H48" s="77"/>
      <c r="I48" s="77"/>
      <c r="J48" s="77"/>
    </row>
    <row r="49" spans="1:18" ht="15.75" customHeight="1" x14ac:dyDescent="0.25">
      <c r="A49" s="77" t="s">
        <v>1509</v>
      </c>
      <c r="B49" s="77" t="s">
        <v>2203</v>
      </c>
      <c r="C49" s="78" t="s">
        <v>2204</v>
      </c>
      <c r="D49" s="77"/>
      <c r="E49" s="77"/>
      <c r="F49" s="77"/>
      <c r="G49" s="77"/>
      <c r="H49" s="77"/>
      <c r="I49" s="77"/>
      <c r="J49" s="77"/>
    </row>
    <row r="50" spans="1:18" ht="15.75" customHeight="1" x14ac:dyDescent="0.25">
      <c r="A50" s="77" t="s">
        <v>1791</v>
      </c>
      <c r="B50" s="77" t="s">
        <v>2205</v>
      </c>
      <c r="C50" s="78" t="s">
        <v>2206</v>
      </c>
      <c r="D50" s="77"/>
      <c r="E50" s="77"/>
      <c r="F50" s="77"/>
      <c r="G50" s="77"/>
      <c r="H50" s="77"/>
      <c r="I50" s="77"/>
      <c r="J50" s="77"/>
    </row>
    <row r="51" spans="1:18" ht="15.75" customHeight="1" x14ac:dyDescent="0.25">
      <c r="A51" s="77" t="s">
        <v>1975</v>
      </c>
      <c r="B51" s="77" t="s">
        <v>2207</v>
      </c>
      <c r="C51" s="78" t="s">
        <v>2208</v>
      </c>
      <c r="D51" s="77"/>
      <c r="E51" s="77"/>
      <c r="F51" s="77"/>
      <c r="G51" s="77"/>
      <c r="H51" s="77"/>
      <c r="I51" s="77"/>
      <c r="J51" s="77"/>
    </row>
    <row r="52" spans="1:18" ht="30" customHeight="1" x14ac:dyDescent="0.25">
      <c r="A52" s="909" t="s">
        <v>1962</v>
      </c>
      <c r="B52" s="302" t="s">
        <v>2209</v>
      </c>
      <c r="C52" s="81" t="s">
        <v>2210</v>
      </c>
      <c r="D52" s="77"/>
      <c r="E52" s="77"/>
      <c r="F52" s="77"/>
      <c r="G52" s="77"/>
      <c r="H52" s="77"/>
      <c r="I52" s="77"/>
      <c r="J52" s="77"/>
    </row>
    <row r="53" spans="1:18" ht="15.75" customHeight="1" x14ac:dyDescent="0.25">
      <c r="A53" s="77" t="s">
        <v>4603</v>
      </c>
      <c r="B53" s="302" t="s">
        <v>4606</v>
      </c>
      <c r="C53" s="81"/>
      <c r="D53" s="77"/>
      <c r="E53" s="77"/>
      <c r="F53" s="77"/>
      <c r="G53" s="77"/>
      <c r="H53" s="77"/>
      <c r="I53" s="77"/>
      <c r="J53" s="77"/>
    </row>
    <row r="54" spans="1:18" ht="30" customHeight="1" x14ac:dyDescent="0.25">
      <c r="A54" s="909" t="s">
        <v>1288</v>
      </c>
      <c r="B54" s="302" t="s">
        <v>2211</v>
      </c>
      <c r="C54" s="78" t="s">
        <v>2212</v>
      </c>
      <c r="D54" s="77"/>
      <c r="E54" s="77"/>
      <c r="F54" s="77"/>
      <c r="G54" s="77"/>
      <c r="H54" s="77"/>
      <c r="I54" s="77"/>
      <c r="J54" s="77"/>
    </row>
    <row r="55" spans="1:18" ht="15.75" customHeight="1" x14ac:dyDescent="0.25">
      <c r="A55" s="77" t="s">
        <v>2239</v>
      </c>
      <c r="B55" s="77" t="s">
        <v>2240</v>
      </c>
      <c r="C55" s="78" t="s">
        <v>2241</v>
      </c>
      <c r="D55" s="84"/>
      <c r="E55" s="84"/>
      <c r="F55" s="84"/>
      <c r="G55" s="84"/>
      <c r="H55" s="84"/>
      <c r="I55" s="84"/>
      <c r="J55" s="77"/>
      <c r="K55" s="77"/>
      <c r="L55" s="77"/>
      <c r="M55" s="77"/>
      <c r="N55" s="77"/>
      <c r="O55" s="77"/>
      <c r="P55" s="77"/>
      <c r="Q55" s="77"/>
      <c r="R55" s="77"/>
    </row>
    <row r="56" spans="1:18" ht="31.5" customHeight="1" x14ac:dyDescent="0.25">
      <c r="A56" s="909" t="s">
        <v>916</v>
      </c>
      <c r="B56" s="302" t="s">
        <v>2213</v>
      </c>
      <c r="C56" s="78" t="s">
        <v>2214</v>
      </c>
      <c r="D56" s="77"/>
      <c r="E56" s="77"/>
      <c r="F56" s="77"/>
      <c r="G56" s="77"/>
      <c r="H56" s="77"/>
      <c r="I56" s="77"/>
      <c r="J56" s="77"/>
    </row>
    <row r="57" spans="1:18" ht="15.75" customHeight="1" x14ac:dyDescent="0.25">
      <c r="A57" s="77" t="s">
        <v>1338</v>
      </c>
      <c r="B57" s="77" t="s">
        <v>2215</v>
      </c>
      <c r="C57" s="80" t="s">
        <v>2216</v>
      </c>
      <c r="D57" s="77"/>
      <c r="E57" s="77"/>
      <c r="F57" s="77"/>
      <c r="G57" s="77"/>
      <c r="H57" s="77"/>
      <c r="I57" s="77"/>
      <c r="J57" s="77"/>
    </row>
    <row r="58" spans="1:18" ht="15.75" customHeight="1" x14ac:dyDescent="0.25">
      <c r="A58" s="77" t="s">
        <v>1784</v>
      </c>
      <c r="B58" s="77" t="s">
        <v>2217</v>
      </c>
      <c r="C58" s="78" t="s">
        <v>2218</v>
      </c>
      <c r="D58" s="77"/>
      <c r="E58" s="77"/>
      <c r="F58" s="77"/>
      <c r="G58" s="77"/>
      <c r="H58" s="77"/>
      <c r="I58" s="77"/>
      <c r="J58" s="77"/>
    </row>
    <row r="59" spans="1:18" ht="31.5" customHeight="1" x14ac:dyDescent="0.25">
      <c r="A59" s="77" t="s">
        <v>2219</v>
      </c>
      <c r="B59" s="302" t="s">
        <v>2220</v>
      </c>
      <c r="C59" s="78" t="s">
        <v>2221</v>
      </c>
      <c r="D59" s="77"/>
      <c r="E59" s="77"/>
      <c r="F59" s="77"/>
      <c r="G59" s="77"/>
      <c r="H59" s="77"/>
      <c r="I59" s="77"/>
      <c r="J59" s="77"/>
    </row>
    <row r="60" spans="1:18" ht="30" customHeight="1" x14ac:dyDescent="0.25">
      <c r="A60" s="909" t="s">
        <v>1822</v>
      </c>
      <c r="B60" s="302" t="s">
        <v>2222</v>
      </c>
      <c r="C60" s="78" t="s">
        <v>2218</v>
      </c>
      <c r="D60" s="84"/>
      <c r="E60" s="84"/>
      <c r="F60" s="84"/>
      <c r="G60" s="84"/>
      <c r="H60" s="77"/>
      <c r="I60" s="77"/>
      <c r="J60" s="77"/>
      <c r="K60" s="77"/>
      <c r="L60" s="77"/>
      <c r="M60" s="77"/>
      <c r="N60" s="77"/>
      <c r="O60" s="77"/>
      <c r="P60" s="77"/>
    </row>
    <row r="61" spans="1:18" customFormat="1" ht="15.75" x14ac:dyDescent="0.25">
      <c r="A61" t="s">
        <v>2377</v>
      </c>
      <c r="B61" s="34" t="s">
        <v>2379</v>
      </c>
      <c r="C61" s="120" t="s">
        <v>2380</v>
      </c>
      <c r="D61" s="63"/>
      <c r="E61" s="121"/>
      <c r="F61" s="9"/>
      <c r="G61" s="9"/>
      <c r="H61" s="9"/>
      <c r="I61" s="9"/>
      <c r="J61" s="9"/>
      <c r="K61" s="9"/>
      <c r="L61" s="9"/>
    </row>
    <row r="62" spans="1:18" ht="15.75" customHeight="1" x14ac:dyDescent="0.25">
      <c r="A62" s="77" t="s">
        <v>1731</v>
      </c>
      <c r="B62" s="77" t="s">
        <v>2223</v>
      </c>
      <c r="C62" s="78" t="s">
        <v>2224</v>
      </c>
      <c r="D62" s="77"/>
      <c r="E62" s="77"/>
      <c r="F62" s="77"/>
      <c r="G62" s="77"/>
      <c r="H62" s="77"/>
      <c r="I62" s="77"/>
      <c r="J62" s="77"/>
    </row>
    <row r="63" spans="1:18" ht="16.5" customHeight="1" x14ac:dyDescent="0.25">
      <c r="A63" s="77" t="s">
        <v>1761</v>
      </c>
      <c r="B63" s="77" t="s">
        <v>2225</v>
      </c>
      <c r="C63" s="78" t="s">
        <v>2226</v>
      </c>
      <c r="D63" s="77"/>
      <c r="E63" s="77"/>
      <c r="F63" s="77"/>
      <c r="G63" s="77"/>
      <c r="H63" s="77"/>
      <c r="I63" s="77"/>
      <c r="J63" s="77"/>
    </row>
    <row r="64" spans="1:18" ht="32.25" customHeight="1" x14ac:dyDescent="0.25">
      <c r="A64" s="909" t="s">
        <v>1499</v>
      </c>
      <c r="B64" s="302" t="s">
        <v>2227</v>
      </c>
      <c r="C64" s="78" t="s">
        <v>2228</v>
      </c>
      <c r="D64" s="77"/>
      <c r="E64" s="77"/>
      <c r="F64" s="77"/>
      <c r="G64" s="77"/>
      <c r="H64" s="77"/>
      <c r="I64" s="77"/>
      <c r="J64" s="77"/>
    </row>
    <row r="65" spans="1:19" ht="16.5" customHeight="1" x14ac:dyDescent="0.25">
      <c r="A65" s="77" t="s">
        <v>1676</v>
      </c>
      <c r="B65" s="77" t="s">
        <v>2229</v>
      </c>
      <c r="C65" s="78" t="s">
        <v>2230</v>
      </c>
      <c r="D65" s="77"/>
      <c r="E65" s="77"/>
      <c r="F65" s="77"/>
      <c r="G65" s="77"/>
      <c r="H65" s="77"/>
      <c r="I65" s="77"/>
      <c r="J65" s="77"/>
    </row>
    <row r="66" spans="1:19" ht="30" customHeight="1" x14ac:dyDescent="0.25">
      <c r="A66" s="909" t="s">
        <v>1460</v>
      </c>
      <c r="B66" s="302" t="s">
        <v>2231</v>
      </c>
      <c r="C66" s="78" t="s">
        <v>2232</v>
      </c>
      <c r="D66" s="77"/>
      <c r="E66" s="77"/>
      <c r="F66" s="77"/>
      <c r="G66" s="77"/>
      <c r="H66" s="77"/>
      <c r="I66" s="77"/>
      <c r="J66" s="77"/>
    </row>
    <row r="67" spans="1:19" ht="15.75" customHeight="1" x14ac:dyDescent="0.25">
      <c r="A67" s="77" t="s">
        <v>1275</v>
      </c>
      <c r="B67" s="77" t="s">
        <v>2233</v>
      </c>
      <c r="C67" s="78" t="s">
        <v>2234</v>
      </c>
      <c r="D67" s="77"/>
      <c r="E67" s="77"/>
      <c r="F67" s="77"/>
      <c r="G67" s="77"/>
      <c r="H67" s="77"/>
      <c r="I67" s="77"/>
      <c r="J67" s="77"/>
    </row>
    <row r="68" spans="1:19" ht="33" customHeight="1" x14ac:dyDescent="0.25">
      <c r="A68" s="909" t="s">
        <v>698</v>
      </c>
      <c r="B68" s="302" t="s">
        <v>2235</v>
      </c>
      <c r="C68" s="78" t="s">
        <v>2236</v>
      </c>
      <c r="D68" s="77"/>
      <c r="E68" s="77"/>
      <c r="F68" s="77"/>
      <c r="G68" s="77"/>
      <c r="H68" s="77"/>
      <c r="I68" s="77"/>
      <c r="J68" s="77"/>
    </row>
    <row r="69" spans="1:19" ht="15.75" customHeight="1" x14ac:dyDescent="0.25">
      <c r="A69" s="77" t="s">
        <v>1751</v>
      </c>
      <c r="B69" s="77" t="s">
        <v>2237</v>
      </c>
      <c r="C69" s="78" t="s">
        <v>2238</v>
      </c>
      <c r="D69" s="77"/>
      <c r="E69" s="77"/>
      <c r="F69" s="77"/>
      <c r="G69" s="77"/>
      <c r="H69" s="77"/>
      <c r="I69" s="77"/>
      <c r="J69" s="77"/>
    </row>
    <row r="70" spans="1:19" s="89" customFormat="1" ht="15.6" customHeight="1" x14ac:dyDescent="0.25">
      <c r="A70" s="122" t="s">
        <v>2411</v>
      </c>
      <c r="B70" s="303" t="s">
        <v>2412</v>
      </c>
      <c r="C70" s="78" t="s">
        <v>2413</v>
      </c>
      <c r="D70" s="95"/>
      <c r="E70" s="95"/>
      <c r="F70" s="95"/>
      <c r="G70" s="95"/>
      <c r="H70" s="95"/>
      <c r="I70" s="95"/>
      <c r="J70" s="95"/>
      <c r="K70" s="93"/>
      <c r="L70" s="93"/>
      <c r="M70" s="93"/>
      <c r="N70" s="93"/>
      <c r="O70" s="93"/>
      <c r="P70" s="93"/>
      <c r="Q70" s="93"/>
      <c r="R70" s="93"/>
      <c r="S70" s="93"/>
    </row>
    <row r="71" spans="1:19" ht="15.75" customHeight="1" x14ac:dyDescent="0.25"/>
    <row r="72" spans="1:19" ht="15.75" customHeight="1" x14ac:dyDescent="0.25"/>
    <row r="73" spans="1:19" ht="15.75" customHeight="1" x14ac:dyDescent="0.25"/>
    <row r="74" spans="1:19" ht="15.75" customHeight="1" x14ac:dyDescent="0.25"/>
    <row r="75" spans="1:19" ht="15.75" customHeight="1" x14ac:dyDescent="0.25"/>
    <row r="76" spans="1:19" ht="15.75" customHeight="1" x14ac:dyDescent="0.25"/>
    <row r="77" spans="1:19" ht="15.75" customHeight="1" x14ac:dyDescent="0.25"/>
    <row r="78" spans="1:19" ht="15.75" customHeight="1" x14ac:dyDescent="0.25"/>
    <row r="79" spans="1:19" ht="15.75" customHeight="1" x14ac:dyDescent="0.25"/>
    <row r="80" spans="1:19"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sheetData>
  <conditionalFormatting sqref="A33">
    <cfRule type="cellIs" dxfId="0" priority="1" operator="equal">
      <formula>".."</formula>
    </cfRule>
  </conditionalFormatting>
  <hyperlinks>
    <hyperlink ref="C4" r:id="rId1"/>
    <hyperlink ref="C8" r:id="rId2"/>
    <hyperlink ref="C9" r:id="rId3"/>
    <hyperlink ref="C11" r:id="rId4"/>
    <hyperlink ref="C12" r:id="rId5"/>
    <hyperlink ref="C13" r:id="rId6"/>
    <hyperlink ref="C15" r:id="rId7"/>
    <hyperlink ref="C22" r:id="rId8"/>
    <hyperlink ref="C23" r:id="rId9"/>
    <hyperlink ref="C25" r:id="rId10"/>
    <hyperlink ref="C26" r:id="rId11"/>
    <hyperlink ref="C27" r:id="rId12"/>
    <hyperlink ref="C28" r:id="rId13"/>
    <hyperlink ref="C29" r:id="rId14"/>
    <hyperlink ref="C30" r:id="rId15"/>
    <hyperlink ref="C34" r:id="rId16"/>
    <hyperlink ref="C39" r:id="rId17"/>
    <hyperlink ref="C41" r:id="rId18"/>
    <hyperlink ref="C42" r:id="rId19"/>
    <hyperlink ref="C46" r:id="rId20"/>
    <hyperlink ref="C47" r:id="rId21"/>
    <hyperlink ref="C49" r:id="rId22"/>
    <hyperlink ref="C50" r:id="rId23"/>
    <hyperlink ref="C51" r:id="rId24"/>
    <hyperlink ref="C54" r:id="rId25"/>
    <hyperlink ref="C55" r:id="rId26"/>
    <hyperlink ref="C60" r:id="rId27"/>
    <hyperlink ref="C63" r:id="rId28"/>
    <hyperlink ref="C64" r:id="rId29"/>
    <hyperlink ref="C65" r:id="rId30"/>
    <hyperlink ref="C66" r:id="rId31"/>
    <hyperlink ref="C67" r:id="rId32"/>
    <hyperlink ref="C68" r:id="rId33"/>
    <hyperlink ref="C69" r:id="rId34"/>
    <hyperlink ref="C17" r:id="rId35"/>
    <hyperlink ref="C48" r:id="rId36"/>
    <hyperlink ref="C59" r:id="rId37"/>
    <hyperlink ref="C45" r:id="rId38"/>
    <hyperlink ref="C44" r:id="rId39"/>
    <hyperlink ref="C37" r:id="rId40"/>
    <hyperlink ref="C57" r:id="rId41"/>
    <hyperlink ref="C62" r:id="rId42" display="10.1016/j.cub.2019.02.006"/>
    <hyperlink ref="C24" r:id="rId43"/>
    <hyperlink ref="C35" r:id="rId44"/>
    <hyperlink ref="C36" r:id="rId45"/>
    <hyperlink ref="C32" r:id="rId46" display="openscience.ub.uni-mainz.de/handle/20.500.12030/863"/>
    <hyperlink ref="C7" r:id="rId47"/>
    <hyperlink ref="C19" r:id="rId48"/>
    <hyperlink ref="C40" r:id="rId49"/>
    <hyperlink ref="C61" r:id="rId50"/>
  </hyperlinks>
  <pageMargins left="0.31496062992125984" right="0.31496062992125984" top="0.35433070866141736" bottom="0.35433070866141736" header="0" footer="0"/>
  <pageSetup paperSize="9" scale="55" orientation="landscape" r:id="rId5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workbookViewId="0">
      <selection activeCell="J21" sqref="J21"/>
    </sheetView>
  </sheetViews>
  <sheetFormatPr baseColWidth="10" defaultRowHeight="15" x14ac:dyDescent="0.25"/>
  <cols>
    <col min="1" max="1" width="4" customWidth="1"/>
    <col min="2" max="2" width="10.42578125" style="5" customWidth="1"/>
    <col min="3" max="3" width="11.42578125" style="118" customWidth="1"/>
    <col min="4" max="4" width="6.140625" style="17" customWidth="1"/>
  </cols>
  <sheetData>
    <row r="1" spans="1:13" ht="21" x14ac:dyDescent="0.35">
      <c r="C1" s="872" t="s">
        <v>4692</v>
      </c>
    </row>
    <row r="2" spans="1:13" x14ac:dyDescent="0.25">
      <c r="C2" s="108" t="s">
        <v>4691</v>
      </c>
    </row>
    <row r="3" spans="1:13" x14ac:dyDescent="0.25">
      <c r="C3" s="884" t="s">
        <v>4724</v>
      </c>
    </row>
    <row r="4" spans="1:13" x14ac:dyDescent="0.25">
      <c r="C4" s="884" t="s">
        <v>4686</v>
      </c>
    </row>
    <row r="5" spans="1:13" x14ac:dyDescent="0.25">
      <c r="C5" s="884" t="s">
        <v>4725</v>
      </c>
    </row>
    <row r="6" spans="1:13" x14ac:dyDescent="0.25">
      <c r="C6" s="418" t="s">
        <v>4726</v>
      </c>
    </row>
    <row r="7" spans="1:13" x14ac:dyDescent="0.25">
      <c r="C7" s="876" t="s">
        <v>4727</v>
      </c>
    </row>
    <row r="8" spans="1:13" ht="18.75" x14ac:dyDescent="0.3">
      <c r="B8" s="946" t="s">
        <v>4730</v>
      </c>
    </row>
    <row r="9" spans="1:13" s="3" customFormat="1" ht="48" x14ac:dyDescent="0.25">
      <c r="A9" s="33" t="s">
        <v>4569</v>
      </c>
      <c r="B9" s="953" t="s">
        <v>4624</v>
      </c>
      <c r="C9" s="954" t="s">
        <v>4630</v>
      </c>
      <c r="D9" s="955" t="s">
        <v>4625</v>
      </c>
      <c r="E9" s="956" t="s">
        <v>2324</v>
      </c>
      <c r="F9" s="957"/>
      <c r="G9" s="957"/>
      <c r="H9" s="957"/>
      <c r="I9" s="957"/>
      <c r="J9" s="957"/>
      <c r="K9" s="957"/>
      <c r="L9" s="957"/>
      <c r="M9" s="958"/>
    </row>
    <row r="10" spans="1:13" x14ac:dyDescent="0.25">
      <c r="A10" s="5">
        <v>1</v>
      </c>
      <c r="B10" s="948" t="s">
        <v>43</v>
      </c>
      <c r="C10" s="118">
        <v>4</v>
      </c>
      <c r="D10" s="874">
        <f>C10/254</f>
        <v>1.5748031496062992E-2</v>
      </c>
      <c r="E10" t="s">
        <v>4626</v>
      </c>
    </row>
    <row r="11" spans="1:13" x14ac:dyDescent="0.25">
      <c r="A11" s="5">
        <f>A10+1</f>
        <v>2</v>
      </c>
      <c r="B11" s="948" t="s">
        <v>109</v>
      </c>
      <c r="C11" s="118">
        <v>0</v>
      </c>
      <c r="D11" s="874">
        <f t="shared" ref="D11:D31" si="0">C11/254</f>
        <v>0</v>
      </c>
    </row>
    <row r="12" spans="1:13" x14ac:dyDescent="0.25">
      <c r="A12" s="5">
        <f t="shared" ref="A12:A27" si="1">A11+1</f>
        <v>3</v>
      </c>
      <c r="B12" s="948" t="s">
        <v>13</v>
      </c>
      <c r="C12" s="118">
        <v>0</v>
      </c>
      <c r="D12" s="874">
        <f t="shared" si="0"/>
        <v>0</v>
      </c>
    </row>
    <row r="13" spans="1:13" x14ac:dyDescent="0.25">
      <c r="A13" s="5">
        <f t="shared" si="1"/>
        <v>4</v>
      </c>
      <c r="B13" s="948" t="s">
        <v>34</v>
      </c>
      <c r="C13" s="118">
        <v>1</v>
      </c>
      <c r="D13" s="874">
        <f t="shared" si="0"/>
        <v>3.937007874015748E-3</v>
      </c>
    </row>
    <row r="14" spans="1:13" x14ac:dyDescent="0.25">
      <c r="A14" s="5">
        <f t="shared" si="1"/>
        <v>5</v>
      </c>
      <c r="B14" s="949" t="s">
        <v>4567</v>
      </c>
      <c r="C14" s="118">
        <v>2</v>
      </c>
      <c r="D14" s="874">
        <v>1.0999999999999999E-2</v>
      </c>
      <c r="E14" s="1" t="s">
        <v>4639</v>
      </c>
    </row>
    <row r="15" spans="1:13" x14ac:dyDescent="0.25">
      <c r="A15" s="5">
        <f t="shared" si="1"/>
        <v>6</v>
      </c>
      <c r="B15" s="948" t="s">
        <v>32</v>
      </c>
      <c r="C15" s="118">
        <v>0</v>
      </c>
      <c r="D15" s="874">
        <f t="shared" si="0"/>
        <v>0</v>
      </c>
      <c r="E15" s="721"/>
    </row>
    <row r="16" spans="1:13" x14ac:dyDescent="0.25">
      <c r="A16" s="5">
        <f t="shared" si="1"/>
        <v>7</v>
      </c>
      <c r="B16" s="948" t="s">
        <v>10</v>
      </c>
      <c r="C16" s="118">
        <v>0</v>
      </c>
      <c r="D16" s="874">
        <f t="shared" si="0"/>
        <v>0</v>
      </c>
      <c r="E16" s="721"/>
    </row>
    <row r="17" spans="1:5" x14ac:dyDescent="0.25">
      <c r="A17" s="5">
        <f t="shared" si="1"/>
        <v>8</v>
      </c>
      <c r="B17" s="948" t="s">
        <v>87</v>
      </c>
      <c r="C17" s="118">
        <v>0</v>
      </c>
      <c r="D17" s="874">
        <f t="shared" si="0"/>
        <v>0</v>
      </c>
      <c r="E17" s="721"/>
    </row>
    <row r="18" spans="1:5" x14ac:dyDescent="0.25">
      <c r="A18" s="5">
        <f t="shared" si="1"/>
        <v>9</v>
      </c>
      <c r="B18" s="948" t="s">
        <v>86</v>
      </c>
      <c r="C18" s="118">
        <v>0</v>
      </c>
      <c r="D18" s="874">
        <f t="shared" si="0"/>
        <v>0</v>
      </c>
      <c r="E18" s="721"/>
    </row>
    <row r="19" spans="1:5" x14ac:dyDescent="0.25">
      <c r="A19" s="5">
        <f t="shared" si="1"/>
        <v>10</v>
      </c>
      <c r="B19" s="948" t="s">
        <v>305</v>
      </c>
      <c r="C19" s="118">
        <v>0</v>
      </c>
      <c r="D19" s="874">
        <f t="shared" si="0"/>
        <v>0</v>
      </c>
      <c r="E19" s="721"/>
    </row>
    <row r="20" spans="1:5" x14ac:dyDescent="0.25">
      <c r="A20" s="5">
        <f t="shared" si="1"/>
        <v>11</v>
      </c>
      <c r="B20" s="948" t="s">
        <v>306</v>
      </c>
      <c r="C20" s="118">
        <v>0</v>
      </c>
      <c r="D20" s="874">
        <f t="shared" si="0"/>
        <v>0</v>
      </c>
      <c r="E20" s="721"/>
    </row>
    <row r="21" spans="1:5" x14ac:dyDescent="0.25">
      <c r="A21" s="5">
        <f t="shared" si="1"/>
        <v>12</v>
      </c>
      <c r="B21" s="948" t="s">
        <v>170</v>
      </c>
      <c r="C21" s="118">
        <v>4</v>
      </c>
      <c r="D21" s="874">
        <f t="shared" si="0"/>
        <v>1.5748031496062992E-2</v>
      </c>
      <c r="E21" s="721"/>
    </row>
    <row r="22" spans="1:5" x14ac:dyDescent="0.25">
      <c r="A22" s="5">
        <f t="shared" si="1"/>
        <v>13</v>
      </c>
      <c r="B22" s="948" t="s">
        <v>4568</v>
      </c>
      <c r="C22" s="118">
        <v>0</v>
      </c>
      <c r="D22" s="874">
        <f t="shared" si="0"/>
        <v>0</v>
      </c>
      <c r="E22" s="721"/>
    </row>
    <row r="23" spans="1:5" x14ac:dyDescent="0.25">
      <c r="A23" s="5">
        <f t="shared" si="1"/>
        <v>14</v>
      </c>
      <c r="B23" s="948" t="s">
        <v>2099</v>
      </c>
      <c r="C23" s="118">
        <v>0</v>
      </c>
      <c r="D23" s="874">
        <f t="shared" si="0"/>
        <v>0</v>
      </c>
      <c r="E23" s="721"/>
    </row>
    <row r="24" spans="1:5" x14ac:dyDescent="0.25">
      <c r="A24" s="5">
        <f t="shared" si="1"/>
        <v>15</v>
      </c>
      <c r="B24" s="948" t="s">
        <v>273</v>
      </c>
      <c r="C24" s="118">
        <v>0</v>
      </c>
      <c r="D24" s="874">
        <f t="shared" si="0"/>
        <v>0</v>
      </c>
      <c r="E24" s="721"/>
    </row>
    <row r="25" spans="1:5" x14ac:dyDescent="0.25">
      <c r="A25" s="5">
        <f t="shared" si="1"/>
        <v>16</v>
      </c>
      <c r="B25" s="948" t="s">
        <v>3923</v>
      </c>
      <c r="C25" s="118">
        <v>0</v>
      </c>
      <c r="D25" s="874">
        <f t="shared" si="0"/>
        <v>0</v>
      </c>
      <c r="E25" s="721"/>
    </row>
    <row r="26" spans="1:5" x14ac:dyDescent="0.25">
      <c r="A26" s="5">
        <f t="shared" si="1"/>
        <v>17</v>
      </c>
      <c r="B26" s="948" t="s">
        <v>3766</v>
      </c>
      <c r="C26" s="118">
        <v>0</v>
      </c>
      <c r="D26" s="874">
        <f t="shared" si="0"/>
        <v>0</v>
      </c>
      <c r="E26" s="1" t="s">
        <v>4687</v>
      </c>
    </row>
    <row r="27" spans="1:5" x14ac:dyDescent="0.25">
      <c r="A27" s="5">
        <f t="shared" si="1"/>
        <v>18</v>
      </c>
      <c r="B27" s="948" t="s">
        <v>3768</v>
      </c>
      <c r="C27" s="118">
        <v>0</v>
      </c>
      <c r="D27" s="874">
        <f t="shared" si="0"/>
        <v>0</v>
      </c>
      <c r="E27" s="1"/>
    </row>
    <row r="28" spans="1:5" x14ac:dyDescent="0.25">
      <c r="A28" s="5">
        <v>19</v>
      </c>
      <c r="B28" s="948" t="s">
        <v>1706</v>
      </c>
      <c r="C28" s="118">
        <v>3</v>
      </c>
      <c r="D28" s="874">
        <f t="shared" si="0"/>
        <v>1.1811023622047244E-2</v>
      </c>
    </row>
    <row r="29" spans="1:5" x14ac:dyDescent="0.25">
      <c r="A29" s="5">
        <v>20</v>
      </c>
      <c r="B29" s="948" t="s">
        <v>105</v>
      </c>
      <c r="C29" s="118">
        <v>0</v>
      </c>
      <c r="D29" s="874">
        <f t="shared" si="0"/>
        <v>0</v>
      </c>
    </row>
    <row r="30" spans="1:5" x14ac:dyDescent="0.25">
      <c r="A30" s="5">
        <v>22</v>
      </c>
      <c r="B30" s="948" t="s">
        <v>922</v>
      </c>
      <c r="C30" s="118">
        <v>0</v>
      </c>
      <c r="D30" s="874">
        <f t="shared" si="0"/>
        <v>0</v>
      </c>
    </row>
    <row r="31" spans="1:5" ht="15.75" thickBot="1" x14ac:dyDescent="0.3">
      <c r="A31" s="5">
        <v>21</v>
      </c>
      <c r="B31" s="959" t="s">
        <v>80</v>
      </c>
      <c r="C31" s="960">
        <v>0</v>
      </c>
      <c r="D31" s="874">
        <f t="shared" si="0"/>
        <v>0</v>
      </c>
      <c r="E31" t="s">
        <v>4632</v>
      </c>
    </row>
    <row r="32" spans="1:5" x14ac:dyDescent="0.25">
      <c r="B32" s="952" t="s">
        <v>4628</v>
      </c>
      <c r="C32" s="323">
        <f>SUM(C10:C31)</f>
        <v>14</v>
      </c>
      <c r="D32" s="875"/>
    </row>
    <row r="33" spans="1:13" x14ac:dyDescent="0.25">
      <c r="B33" s="952"/>
      <c r="C33" s="323"/>
      <c r="D33" s="875"/>
    </row>
    <row r="34" spans="1:13" x14ac:dyDescent="0.25">
      <c r="C34" s="323"/>
      <c r="D34" s="875"/>
    </row>
    <row r="35" spans="1:13" x14ac:dyDescent="0.25">
      <c r="C35" s="1053" t="s">
        <v>4638</v>
      </c>
      <c r="D35" s="875"/>
    </row>
    <row r="36" spans="1:13" x14ac:dyDescent="0.25">
      <c r="C36" s="1052" t="s">
        <v>4688</v>
      </c>
      <c r="D36" s="875"/>
    </row>
    <row r="37" spans="1:13" x14ac:dyDescent="0.25">
      <c r="C37" s="1052" t="s">
        <v>4732</v>
      </c>
      <c r="D37" s="875"/>
    </row>
    <row r="38" spans="1:13" x14ac:dyDescent="0.25">
      <c r="B38" s="1052"/>
      <c r="C38" s="1052" t="s">
        <v>4733</v>
      </c>
      <c r="D38" s="875"/>
    </row>
    <row r="39" spans="1:13" ht="18.75" x14ac:dyDescent="0.3">
      <c r="B39" s="946" t="s">
        <v>4731</v>
      </c>
      <c r="D39" s="875"/>
    </row>
    <row r="40" spans="1:13" ht="24" x14ac:dyDescent="0.25">
      <c r="B40" s="961" t="s">
        <v>4624</v>
      </c>
      <c r="C40" s="954" t="s">
        <v>4631</v>
      </c>
      <c r="D40" s="955" t="s">
        <v>4625</v>
      </c>
      <c r="E40" s="956" t="s">
        <v>2324</v>
      </c>
      <c r="F40" s="962"/>
      <c r="G40" s="962"/>
      <c r="H40" s="962"/>
      <c r="I40" s="962"/>
      <c r="J40" s="962"/>
      <c r="K40" s="962"/>
      <c r="L40" s="962"/>
      <c r="M40" s="836"/>
    </row>
    <row r="41" spans="1:13" x14ac:dyDescent="0.25">
      <c r="A41">
        <v>1</v>
      </c>
      <c r="B41" s="948" t="s">
        <v>8</v>
      </c>
      <c r="C41" s="118">
        <v>7</v>
      </c>
      <c r="D41" s="874">
        <f>C41/254</f>
        <v>2.7559055118110236E-2</v>
      </c>
      <c r="E41" t="s">
        <v>4629</v>
      </c>
    </row>
    <row r="42" spans="1:13" x14ac:dyDescent="0.25">
      <c r="A42">
        <v>2</v>
      </c>
      <c r="B42" s="948" t="s">
        <v>1292</v>
      </c>
      <c r="C42" s="118">
        <v>16</v>
      </c>
      <c r="D42" s="874">
        <f t="shared" ref="D42:D45" si="2">C42/254</f>
        <v>6.2992125984251968E-2</v>
      </c>
    </row>
    <row r="43" spans="1:13" x14ac:dyDescent="0.25">
      <c r="A43">
        <v>3</v>
      </c>
      <c r="B43" s="948" t="s">
        <v>162</v>
      </c>
      <c r="C43" s="118">
        <v>26</v>
      </c>
      <c r="D43" s="874">
        <f t="shared" si="2"/>
        <v>0.10236220472440945</v>
      </c>
    </row>
    <row r="44" spans="1:13" x14ac:dyDescent="0.25">
      <c r="A44">
        <v>4</v>
      </c>
      <c r="B44" s="948" t="s">
        <v>9</v>
      </c>
      <c r="C44" s="118">
        <v>143</v>
      </c>
      <c r="D44" s="874">
        <f t="shared" si="2"/>
        <v>0.56299212598425197</v>
      </c>
    </row>
    <row r="45" spans="1:13" x14ac:dyDescent="0.25">
      <c r="A45">
        <v>5</v>
      </c>
      <c r="B45" s="948" t="s">
        <v>1316</v>
      </c>
      <c r="C45" s="118">
        <v>9</v>
      </c>
      <c r="D45" s="874">
        <f t="shared" si="2"/>
        <v>3.5433070866141732E-2</v>
      </c>
    </row>
    <row r="46" spans="1:13" x14ac:dyDescent="0.25">
      <c r="A46">
        <v>6</v>
      </c>
      <c r="B46" s="948" t="s">
        <v>3787</v>
      </c>
      <c r="C46" s="118">
        <v>6</v>
      </c>
      <c r="D46" s="874">
        <f>C46/254</f>
        <v>2.3622047244094488E-2</v>
      </c>
      <c r="E46" s="721" t="s">
        <v>4689</v>
      </c>
    </row>
    <row r="47" spans="1:13" x14ac:dyDescent="0.25">
      <c r="A47">
        <v>7</v>
      </c>
      <c r="B47" s="950" t="s">
        <v>4627</v>
      </c>
      <c r="C47" s="118">
        <v>4</v>
      </c>
      <c r="D47" s="874">
        <v>5.8000000000000003E-2</v>
      </c>
      <c r="E47" t="s">
        <v>4728</v>
      </c>
    </row>
    <row r="48" spans="1:13" x14ac:dyDescent="0.25">
      <c r="A48">
        <v>8</v>
      </c>
      <c r="B48" s="873" t="s">
        <v>1511</v>
      </c>
      <c r="C48" s="118">
        <v>1</v>
      </c>
      <c r="D48" s="947">
        <f>C48/254</f>
        <v>3.937007874015748E-3</v>
      </c>
      <c r="E48" s="951" t="s">
        <v>4729</v>
      </c>
      <c r="F48" s="951"/>
      <c r="G48" s="951"/>
    </row>
    <row r="49" spans="1:7" x14ac:dyDescent="0.25">
      <c r="A49">
        <v>9</v>
      </c>
      <c r="B49" s="873" t="s">
        <v>1519</v>
      </c>
      <c r="C49" s="118">
        <v>1</v>
      </c>
      <c r="D49" s="947">
        <f t="shared" ref="D49:D50" si="3">C49/254</f>
        <v>3.937007874015748E-3</v>
      </c>
      <c r="E49" s="951" t="s">
        <v>4729</v>
      </c>
      <c r="F49" s="951"/>
      <c r="G49" s="951"/>
    </row>
    <row r="50" spans="1:7" ht="15.75" thickBot="1" x14ac:dyDescent="0.3">
      <c r="A50">
        <v>10</v>
      </c>
      <c r="B50" s="881" t="s">
        <v>4</v>
      </c>
      <c r="C50" s="960">
        <v>2</v>
      </c>
      <c r="D50" s="947">
        <f t="shared" si="3"/>
        <v>7.874015748031496E-3</v>
      </c>
      <c r="E50" s="951" t="s">
        <v>4729</v>
      </c>
      <c r="F50" s="951"/>
      <c r="G50" s="951"/>
    </row>
    <row r="51" spans="1:7" x14ac:dyDescent="0.25">
      <c r="B51" s="896" t="s">
        <v>4628</v>
      </c>
      <c r="C51" s="323">
        <f>SUM(C41:C50)</f>
        <v>215</v>
      </c>
    </row>
  </sheetData>
  <pageMargins left="0.31496062992125984" right="0.31496062992125984" top="0.55118110236220474" bottom="0.55118110236220474" header="0" footer="0"/>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4"/>
  <sheetViews>
    <sheetView zoomScaleNormal="100" workbookViewId="0">
      <selection activeCell="C49" sqref="C49"/>
    </sheetView>
  </sheetViews>
  <sheetFormatPr baseColWidth="10" defaultRowHeight="15" x14ac:dyDescent="0.25"/>
  <cols>
    <col min="1" max="1" width="10.7109375" customWidth="1"/>
    <col min="2" max="2" width="4.5703125" style="5" customWidth="1"/>
    <col min="3" max="3" width="4.28515625" style="5" customWidth="1"/>
    <col min="4" max="4" width="2.7109375" style="5" customWidth="1"/>
    <col min="5" max="5" width="4.28515625" style="5" customWidth="1"/>
    <col min="6" max="6" width="2.7109375" style="5" customWidth="1"/>
    <col min="7" max="7" width="3.85546875" style="5" customWidth="1"/>
    <col min="8" max="8" width="2.7109375" style="5" customWidth="1"/>
    <col min="9" max="9" width="2.85546875" style="5" customWidth="1"/>
    <col min="10" max="10" width="2.5703125" style="5" customWidth="1"/>
    <col min="11" max="11" width="3.7109375" style="5" customWidth="1"/>
    <col min="12" max="12" width="2.5703125" style="5" customWidth="1"/>
    <col min="13" max="13" width="4.140625" style="5" customWidth="1"/>
    <col min="14" max="14" width="3" style="5" customWidth="1"/>
    <col min="15" max="15" width="1.85546875" style="5" customWidth="1"/>
    <col min="16" max="16" width="2.28515625" style="5" customWidth="1"/>
    <col min="17" max="17" width="1.85546875" style="5" customWidth="1"/>
    <col min="18" max="18" width="2.28515625" style="5" customWidth="1"/>
    <col min="19" max="19" width="2" style="5" customWidth="1"/>
    <col min="20" max="20" width="2.140625" style="5" customWidth="1"/>
    <col min="21" max="22" width="2.28515625" style="5" customWidth="1"/>
    <col min="23" max="23" width="2.85546875" style="5" customWidth="1"/>
    <col min="24" max="25" width="4" style="5" customWidth="1"/>
    <col min="26" max="26" width="3.140625" style="5" customWidth="1"/>
    <col min="27" max="27" width="2.5703125" style="5" customWidth="1"/>
    <col min="28" max="28" width="3.42578125" style="5" customWidth="1"/>
    <col min="29" max="29" width="3.85546875" style="5" customWidth="1"/>
    <col min="30" max="31" width="4.7109375" style="5" customWidth="1"/>
    <col min="32" max="32" width="4.140625" style="5" customWidth="1"/>
    <col min="33" max="33" width="3.28515625" style="5" customWidth="1"/>
    <col min="34" max="34" width="2.7109375" customWidth="1"/>
    <col min="35" max="36" width="2.42578125" customWidth="1"/>
    <col min="37" max="37" width="2.28515625" customWidth="1"/>
    <col min="38" max="38" width="2.7109375" style="5" customWidth="1"/>
    <col min="39" max="39" width="2.7109375" customWidth="1"/>
    <col min="40" max="40" width="4.28515625" customWidth="1"/>
    <col min="41" max="41" width="4.140625" customWidth="1"/>
  </cols>
  <sheetData>
    <row r="1" spans="1:41" ht="21" x14ac:dyDescent="0.35">
      <c r="B1" s="872" t="s">
        <v>4702</v>
      </c>
    </row>
    <row r="2" spans="1:41" x14ac:dyDescent="0.25">
      <c r="B2" s="884" t="s">
        <v>4691</v>
      </c>
    </row>
    <row r="3" spans="1:41" ht="18.75" x14ac:dyDescent="0.3">
      <c r="B3" s="946" t="s">
        <v>4734</v>
      </c>
    </row>
    <row r="4" spans="1:41" x14ac:dyDescent="0.25">
      <c r="B4" s="877" t="s">
        <v>4641</v>
      </c>
    </row>
    <row r="5" spans="1:41" x14ac:dyDescent="0.25">
      <c r="B5" s="9" t="s">
        <v>4690</v>
      </c>
    </row>
    <row r="6" spans="1:41" x14ac:dyDescent="0.25">
      <c r="B6" s="877" t="s">
        <v>4723</v>
      </c>
    </row>
    <row r="7" spans="1:41" ht="15.75" thickBot="1" x14ac:dyDescent="0.3"/>
    <row r="8" spans="1:41" ht="20.25" customHeight="1" x14ac:dyDescent="0.25">
      <c r="A8" s="721"/>
      <c r="B8" s="722"/>
      <c r="C8" s="722"/>
      <c r="D8" s="964"/>
      <c r="E8" s="965"/>
      <c r="F8" s="965"/>
      <c r="G8" s="965"/>
      <c r="H8" s="965"/>
      <c r="I8" s="965"/>
      <c r="J8" s="965"/>
      <c r="K8" s="965"/>
      <c r="L8" s="965"/>
      <c r="M8" s="965"/>
      <c r="N8" s="965"/>
      <c r="O8" s="965"/>
      <c r="P8" s="965"/>
      <c r="Q8" s="966" t="s">
        <v>4590</v>
      </c>
      <c r="R8" s="965"/>
      <c r="S8" s="965"/>
      <c r="T8" s="965"/>
      <c r="U8" s="965"/>
      <c r="V8" s="965"/>
      <c r="W8" s="965"/>
      <c r="X8" s="965"/>
      <c r="Y8" s="965"/>
      <c r="Z8" s="965"/>
      <c r="AA8" s="965"/>
      <c r="AB8" s="965"/>
      <c r="AC8" s="965"/>
      <c r="AD8" s="965"/>
      <c r="AE8" s="965"/>
      <c r="AF8" s="967"/>
      <c r="AG8" s="964"/>
      <c r="AH8" s="968"/>
      <c r="AI8" s="968"/>
      <c r="AJ8" s="966" t="s">
        <v>4589</v>
      </c>
      <c r="AK8" s="968"/>
      <c r="AL8" s="965"/>
      <c r="AM8" s="968"/>
      <c r="AN8" s="969"/>
      <c r="AO8" s="721"/>
    </row>
    <row r="9" spans="1:41" s="3" customFormat="1" ht="69" customHeight="1" thickBot="1" x14ac:dyDescent="0.35">
      <c r="A9" s="1031" t="s">
        <v>4575</v>
      </c>
      <c r="B9" s="970" t="s">
        <v>4578</v>
      </c>
      <c r="C9" s="974" t="s">
        <v>4600</v>
      </c>
      <c r="D9" s="989" t="s">
        <v>43</v>
      </c>
      <c r="E9" s="983" t="s">
        <v>4579</v>
      </c>
      <c r="F9" s="987" t="s">
        <v>109</v>
      </c>
      <c r="G9" s="986" t="s">
        <v>4580</v>
      </c>
      <c r="H9" s="986" t="s">
        <v>13</v>
      </c>
      <c r="I9" s="986" t="s">
        <v>4581</v>
      </c>
      <c r="J9" s="983" t="s">
        <v>34</v>
      </c>
      <c r="K9" s="983" t="s">
        <v>4582</v>
      </c>
      <c r="L9" s="972" t="s">
        <v>18</v>
      </c>
      <c r="M9" s="972" t="s">
        <v>4583</v>
      </c>
      <c r="N9" s="983" t="s">
        <v>32</v>
      </c>
      <c r="O9" s="983" t="s">
        <v>10</v>
      </c>
      <c r="P9" s="983" t="s">
        <v>87</v>
      </c>
      <c r="Q9" s="983" t="s">
        <v>86</v>
      </c>
      <c r="R9" s="983" t="s">
        <v>305</v>
      </c>
      <c r="S9" s="983" t="s">
        <v>306</v>
      </c>
      <c r="T9" s="983" t="s">
        <v>170</v>
      </c>
      <c r="U9" s="983" t="s">
        <v>4568</v>
      </c>
      <c r="V9" s="986" t="s">
        <v>2099</v>
      </c>
      <c r="W9" s="983" t="s">
        <v>273</v>
      </c>
      <c r="X9" s="983" t="s">
        <v>3923</v>
      </c>
      <c r="Y9" s="986" t="s">
        <v>3766</v>
      </c>
      <c r="Z9" s="983" t="s">
        <v>3768</v>
      </c>
      <c r="AA9" s="983" t="s">
        <v>1706</v>
      </c>
      <c r="AB9" s="983" t="s">
        <v>105</v>
      </c>
      <c r="AC9" s="983" t="s">
        <v>922</v>
      </c>
      <c r="AD9" s="991" t="s">
        <v>4584</v>
      </c>
      <c r="AE9" s="992" t="s">
        <v>4586</v>
      </c>
      <c r="AF9" s="993" t="s">
        <v>4587</v>
      </c>
      <c r="AG9" s="989" t="s">
        <v>8</v>
      </c>
      <c r="AH9" s="983" t="s">
        <v>1292</v>
      </c>
      <c r="AI9" s="983" t="s">
        <v>162</v>
      </c>
      <c r="AJ9" s="983" t="s">
        <v>9</v>
      </c>
      <c r="AK9" s="983" t="s">
        <v>1316</v>
      </c>
      <c r="AL9" s="987" t="s">
        <v>3787</v>
      </c>
      <c r="AM9" s="994" t="s">
        <v>4585</v>
      </c>
      <c r="AN9" s="995" t="s">
        <v>4633</v>
      </c>
      <c r="AO9" s="981" t="s">
        <v>4588</v>
      </c>
    </row>
    <row r="10" spans="1:41" ht="22.5" customHeight="1" x14ac:dyDescent="0.25">
      <c r="A10" s="878" t="s">
        <v>4239</v>
      </c>
      <c r="B10" s="973">
        <v>158.60299000000001</v>
      </c>
      <c r="C10" s="722">
        <v>19</v>
      </c>
      <c r="D10" s="964">
        <v>9</v>
      </c>
      <c r="E10" s="997">
        <v>47.4</v>
      </c>
      <c r="F10" s="998">
        <v>1</v>
      </c>
      <c r="G10" s="999">
        <v>5.2631600000000001</v>
      </c>
      <c r="H10" s="998">
        <v>0</v>
      </c>
      <c r="I10" s="997">
        <v>0</v>
      </c>
      <c r="J10" s="998">
        <v>1</v>
      </c>
      <c r="K10" s="999">
        <v>5.2631600000000001</v>
      </c>
      <c r="L10" s="1000">
        <v>2</v>
      </c>
      <c r="M10" s="1042">
        <v>10.52632</v>
      </c>
      <c r="N10" s="965">
        <v>1</v>
      </c>
      <c r="O10" s="965">
        <v>0</v>
      </c>
      <c r="P10" s="965">
        <v>0</v>
      </c>
      <c r="Q10" s="965">
        <v>0</v>
      </c>
      <c r="R10" s="965">
        <v>1</v>
      </c>
      <c r="S10" s="965">
        <v>1</v>
      </c>
      <c r="T10" s="965">
        <v>1</v>
      </c>
      <c r="U10" s="965">
        <v>1</v>
      </c>
      <c r="V10" s="965">
        <v>0</v>
      </c>
      <c r="W10" s="965">
        <v>0</v>
      </c>
      <c r="X10" s="965">
        <v>0</v>
      </c>
      <c r="Y10" s="965">
        <v>0</v>
      </c>
      <c r="Z10" s="965">
        <v>0</v>
      </c>
      <c r="AA10" s="965">
        <v>0</v>
      </c>
      <c r="AB10" s="965">
        <v>0</v>
      </c>
      <c r="AC10" s="997">
        <v>0</v>
      </c>
      <c r="AD10" s="965">
        <v>18</v>
      </c>
      <c r="AE10" s="1001">
        <v>94.736840000000001</v>
      </c>
      <c r="AF10" s="1011">
        <v>47.336840000000002</v>
      </c>
      <c r="AG10" s="964">
        <v>1</v>
      </c>
      <c r="AH10" s="965">
        <v>0</v>
      </c>
      <c r="AI10" s="965">
        <v>0</v>
      </c>
      <c r="AJ10" s="965">
        <v>0</v>
      </c>
      <c r="AK10" s="965">
        <v>0</v>
      </c>
      <c r="AL10" s="997">
        <v>0</v>
      </c>
      <c r="AM10" s="965">
        <v>1</v>
      </c>
      <c r="AN10" s="1045">
        <v>5.2631600000000001</v>
      </c>
      <c r="AO10" s="722">
        <v>100</v>
      </c>
    </row>
    <row r="11" spans="1:41" ht="23.25" x14ac:dyDescent="0.25">
      <c r="A11" s="878" t="s">
        <v>4246</v>
      </c>
      <c r="B11" s="973">
        <v>507.81508000000002</v>
      </c>
      <c r="C11" s="722">
        <v>46</v>
      </c>
      <c r="D11" s="1002">
        <v>16</v>
      </c>
      <c r="E11" s="985">
        <v>34.799999999999997</v>
      </c>
      <c r="F11" s="984">
        <v>5</v>
      </c>
      <c r="G11" s="988">
        <v>10.86957</v>
      </c>
      <c r="H11" s="984">
        <v>7</v>
      </c>
      <c r="I11" s="985">
        <v>15.21739</v>
      </c>
      <c r="J11" s="984">
        <v>0</v>
      </c>
      <c r="K11" s="988">
        <v>0</v>
      </c>
      <c r="L11" s="215">
        <v>6</v>
      </c>
      <c r="M11" s="1043">
        <v>13.043480000000001</v>
      </c>
      <c r="N11" s="990">
        <v>0</v>
      </c>
      <c r="O11" s="990">
        <v>0</v>
      </c>
      <c r="P11" s="990">
        <v>1</v>
      </c>
      <c r="Q11" s="990">
        <v>1</v>
      </c>
      <c r="R11" s="990">
        <v>0</v>
      </c>
      <c r="S11" s="990">
        <v>0</v>
      </c>
      <c r="T11" s="990">
        <v>1</v>
      </c>
      <c r="U11" s="990">
        <v>0</v>
      </c>
      <c r="V11" s="990">
        <v>1</v>
      </c>
      <c r="W11" s="990">
        <v>6</v>
      </c>
      <c r="X11" s="990">
        <v>0</v>
      </c>
      <c r="Y11" s="990">
        <v>0</v>
      </c>
      <c r="Z11" s="990">
        <v>0</v>
      </c>
      <c r="AA11" s="990">
        <v>0</v>
      </c>
      <c r="AB11" s="990">
        <v>0</v>
      </c>
      <c r="AC11" s="985">
        <v>0</v>
      </c>
      <c r="AD11" s="990">
        <v>44</v>
      </c>
      <c r="AE11" s="1003">
        <v>95.652169999999998</v>
      </c>
      <c r="AF11" s="1012">
        <v>60.852170000000001</v>
      </c>
      <c r="AG11" s="1002">
        <v>1</v>
      </c>
      <c r="AH11" s="990">
        <v>0</v>
      </c>
      <c r="AI11" s="990">
        <v>0</v>
      </c>
      <c r="AJ11" s="990">
        <v>1</v>
      </c>
      <c r="AK11" s="990">
        <v>0</v>
      </c>
      <c r="AL11" s="985">
        <v>0</v>
      </c>
      <c r="AM11" s="990">
        <v>2</v>
      </c>
      <c r="AN11" s="1046">
        <v>4.3478300000000001</v>
      </c>
      <c r="AO11" s="722">
        <v>100</v>
      </c>
    </row>
    <row r="12" spans="1:41" ht="23.25" x14ac:dyDescent="0.25">
      <c r="A12" s="878" t="s">
        <v>4247</v>
      </c>
      <c r="B12" s="973">
        <v>921.36878999999999</v>
      </c>
      <c r="C12" s="722">
        <v>56</v>
      </c>
      <c r="D12" s="1002">
        <v>20</v>
      </c>
      <c r="E12" s="985">
        <v>35.700000000000003</v>
      </c>
      <c r="F12" s="984">
        <v>4</v>
      </c>
      <c r="G12" s="988">
        <v>7.1428599999999998</v>
      </c>
      <c r="H12" s="984">
        <v>8</v>
      </c>
      <c r="I12" s="985">
        <v>14.28571</v>
      </c>
      <c r="J12" s="984">
        <v>6</v>
      </c>
      <c r="K12" s="988">
        <v>10.71429</v>
      </c>
      <c r="L12" s="215">
        <v>4</v>
      </c>
      <c r="M12" s="1043">
        <v>7.1428599999999998</v>
      </c>
      <c r="N12" s="990">
        <v>1</v>
      </c>
      <c r="O12" s="990">
        <v>0</v>
      </c>
      <c r="P12" s="990">
        <v>2</v>
      </c>
      <c r="Q12" s="990">
        <v>5</v>
      </c>
      <c r="R12" s="990">
        <v>4</v>
      </c>
      <c r="S12" s="990">
        <v>0</v>
      </c>
      <c r="T12" s="990">
        <v>0</v>
      </c>
      <c r="U12" s="990">
        <v>0</v>
      </c>
      <c r="V12" s="990">
        <v>0</v>
      </c>
      <c r="W12" s="990">
        <v>0</v>
      </c>
      <c r="X12" s="990">
        <v>0</v>
      </c>
      <c r="Y12" s="990">
        <v>0</v>
      </c>
      <c r="Z12" s="990">
        <v>0</v>
      </c>
      <c r="AA12" s="990">
        <v>0</v>
      </c>
      <c r="AB12" s="990">
        <v>0</v>
      </c>
      <c r="AC12" s="985">
        <v>0</v>
      </c>
      <c r="AD12" s="990">
        <v>54</v>
      </c>
      <c r="AE12" s="1003">
        <v>96.428569999999993</v>
      </c>
      <c r="AF12" s="1012">
        <v>60.728569999999998</v>
      </c>
      <c r="AG12" s="1002">
        <v>0</v>
      </c>
      <c r="AH12" s="990">
        <v>0</v>
      </c>
      <c r="AI12" s="990">
        <v>0</v>
      </c>
      <c r="AJ12" s="990">
        <v>0</v>
      </c>
      <c r="AK12" s="990">
        <v>2</v>
      </c>
      <c r="AL12" s="985">
        <v>0</v>
      </c>
      <c r="AM12" s="990">
        <v>2</v>
      </c>
      <c r="AN12" s="1046">
        <v>3.5714299999999999</v>
      </c>
      <c r="AO12" s="722">
        <v>100</v>
      </c>
    </row>
    <row r="13" spans="1:41" ht="37.5" customHeight="1" x14ac:dyDescent="0.25">
      <c r="A13" s="878" t="s">
        <v>4576</v>
      </c>
      <c r="B13" s="973">
        <v>1348.01241</v>
      </c>
      <c r="C13" s="722">
        <v>16</v>
      </c>
      <c r="D13" s="1002">
        <v>3</v>
      </c>
      <c r="E13" s="985">
        <v>18.8</v>
      </c>
      <c r="F13" s="984">
        <v>3</v>
      </c>
      <c r="G13" s="988">
        <v>18.75</v>
      </c>
      <c r="H13" s="984">
        <v>0</v>
      </c>
      <c r="I13" s="985">
        <v>0</v>
      </c>
      <c r="J13" s="984">
        <v>1</v>
      </c>
      <c r="K13" s="988">
        <v>6.25</v>
      </c>
      <c r="L13" s="215">
        <v>5</v>
      </c>
      <c r="M13" s="1043">
        <v>31.25</v>
      </c>
      <c r="N13" s="990">
        <v>0</v>
      </c>
      <c r="O13" s="990">
        <v>0</v>
      </c>
      <c r="P13" s="990">
        <v>1</v>
      </c>
      <c r="Q13" s="990">
        <v>1</v>
      </c>
      <c r="R13" s="990">
        <v>0</v>
      </c>
      <c r="S13" s="990">
        <v>0</v>
      </c>
      <c r="T13" s="990">
        <v>0</v>
      </c>
      <c r="U13" s="990">
        <v>0</v>
      </c>
      <c r="V13" s="990">
        <v>0</v>
      </c>
      <c r="W13" s="990">
        <v>0</v>
      </c>
      <c r="X13" s="990">
        <v>2</v>
      </c>
      <c r="Y13" s="990">
        <v>0</v>
      </c>
      <c r="Z13" s="990">
        <v>0</v>
      </c>
      <c r="AA13" s="990">
        <v>0</v>
      </c>
      <c r="AB13" s="990">
        <v>0</v>
      </c>
      <c r="AC13" s="985">
        <v>0</v>
      </c>
      <c r="AD13" s="990">
        <v>16</v>
      </c>
      <c r="AE13" s="1016">
        <v>100</v>
      </c>
      <c r="AF13" s="1012">
        <v>81.2</v>
      </c>
      <c r="AG13" s="1002">
        <v>0</v>
      </c>
      <c r="AH13" s="990">
        <v>0</v>
      </c>
      <c r="AI13" s="990">
        <v>0</v>
      </c>
      <c r="AJ13" s="990">
        <v>0</v>
      </c>
      <c r="AK13" s="990">
        <v>0</v>
      </c>
      <c r="AL13" s="985">
        <v>0</v>
      </c>
      <c r="AM13" s="990">
        <v>0</v>
      </c>
      <c r="AN13" s="1046">
        <v>0</v>
      </c>
      <c r="AO13" s="722">
        <v>100</v>
      </c>
    </row>
    <row r="14" spans="1:41" ht="39" customHeight="1" x14ac:dyDescent="0.25">
      <c r="A14" s="878" t="s">
        <v>4577</v>
      </c>
      <c r="B14" s="973">
        <v>1640.76659</v>
      </c>
      <c r="C14" s="722">
        <v>30</v>
      </c>
      <c r="D14" s="1002">
        <v>5</v>
      </c>
      <c r="E14" s="985">
        <v>16.7</v>
      </c>
      <c r="F14" s="984">
        <v>6</v>
      </c>
      <c r="G14" s="988">
        <v>20</v>
      </c>
      <c r="H14" s="984">
        <v>0</v>
      </c>
      <c r="I14" s="985">
        <v>0</v>
      </c>
      <c r="J14" s="984">
        <v>3</v>
      </c>
      <c r="K14" s="988">
        <v>10</v>
      </c>
      <c r="L14" s="215">
        <v>8</v>
      </c>
      <c r="M14" s="1043">
        <v>26.66667</v>
      </c>
      <c r="N14" s="990">
        <v>5</v>
      </c>
      <c r="O14" s="990">
        <v>0</v>
      </c>
      <c r="P14" s="990">
        <v>0</v>
      </c>
      <c r="Q14" s="990">
        <v>0</v>
      </c>
      <c r="R14" s="990">
        <v>0</v>
      </c>
      <c r="S14" s="990">
        <v>0</v>
      </c>
      <c r="T14" s="990">
        <v>0</v>
      </c>
      <c r="U14" s="990">
        <v>0</v>
      </c>
      <c r="V14" s="990">
        <v>0</v>
      </c>
      <c r="W14" s="990">
        <v>2</v>
      </c>
      <c r="X14" s="990">
        <v>1</v>
      </c>
      <c r="Y14" s="990">
        <v>0</v>
      </c>
      <c r="Z14" s="990">
        <v>0</v>
      </c>
      <c r="AA14" s="990">
        <v>0</v>
      </c>
      <c r="AB14" s="990">
        <v>0</v>
      </c>
      <c r="AC14" s="985">
        <v>0</v>
      </c>
      <c r="AD14" s="990">
        <v>30</v>
      </c>
      <c r="AE14" s="1016">
        <v>100</v>
      </c>
      <c r="AF14" s="1012">
        <v>83.3</v>
      </c>
      <c r="AG14" s="1002">
        <v>0</v>
      </c>
      <c r="AH14" s="990">
        <v>0</v>
      </c>
      <c r="AI14" s="990">
        <v>0</v>
      </c>
      <c r="AJ14" s="990">
        <v>0</v>
      </c>
      <c r="AK14" s="990">
        <v>0</v>
      </c>
      <c r="AL14" s="985">
        <v>0</v>
      </c>
      <c r="AM14" s="990">
        <v>0</v>
      </c>
      <c r="AN14" s="1046">
        <v>0</v>
      </c>
      <c r="AO14" s="722">
        <v>100</v>
      </c>
    </row>
    <row r="15" spans="1:41" x14ac:dyDescent="0.25">
      <c r="A15" s="721" t="s">
        <v>4264</v>
      </c>
      <c r="B15" s="973">
        <v>1997.5042000000001</v>
      </c>
      <c r="C15" s="722">
        <v>129</v>
      </c>
      <c r="D15" s="1002">
        <v>27</v>
      </c>
      <c r="E15" s="985">
        <v>20.9</v>
      </c>
      <c r="F15" s="984">
        <v>22</v>
      </c>
      <c r="G15" s="988">
        <v>17.054259999999999</v>
      </c>
      <c r="H15" s="984">
        <v>12</v>
      </c>
      <c r="I15" s="985">
        <v>9.3023299999999995</v>
      </c>
      <c r="J15" s="984">
        <v>12</v>
      </c>
      <c r="K15" s="988">
        <v>9.3023299999999995</v>
      </c>
      <c r="L15" s="215">
        <v>25</v>
      </c>
      <c r="M15" s="1043">
        <v>19.379840000000002</v>
      </c>
      <c r="N15" s="990">
        <v>3</v>
      </c>
      <c r="O15" s="990">
        <v>4</v>
      </c>
      <c r="P15" s="990">
        <v>2</v>
      </c>
      <c r="Q15" s="990">
        <v>4</v>
      </c>
      <c r="R15" s="990">
        <v>0</v>
      </c>
      <c r="S15" s="990">
        <v>0</v>
      </c>
      <c r="T15" s="990">
        <v>3</v>
      </c>
      <c r="U15" s="990">
        <v>0</v>
      </c>
      <c r="V15" s="990">
        <v>0</v>
      </c>
      <c r="W15" s="990">
        <v>1</v>
      </c>
      <c r="X15" s="990">
        <v>2</v>
      </c>
      <c r="Y15" s="990">
        <v>1</v>
      </c>
      <c r="Z15" s="990">
        <v>1</v>
      </c>
      <c r="AA15" s="990">
        <v>1</v>
      </c>
      <c r="AB15" s="990">
        <v>0</v>
      </c>
      <c r="AC15" s="985">
        <v>0</v>
      </c>
      <c r="AD15" s="990">
        <v>120</v>
      </c>
      <c r="AE15" s="1003">
        <v>93.023259999999993</v>
      </c>
      <c r="AF15" s="1012">
        <v>72.898449999999997</v>
      </c>
      <c r="AG15" s="1002">
        <v>0</v>
      </c>
      <c r="AH15" s="990">
        <v>2</v>
      </c>
      <c r="AI15" s="990">
        <v>1</v>
      </c>
      <c r="AJ15" s="990">
        <v>3</v>
      </c>
      <c r="AK15" s="990">
        <v>2</v>
      </c>
      <c r="AL15" s="985">
        <v>1</v>
      </c>
      <c r="AM15" s="990">
        <v>9</v>
      </c>
      <c r="AN15" s="1046">
        <v>7</v>
      </c>
      <c r="AO15" s="722">
        <v>100</v>
      </c>
    </row>
    <row r="16" spans="1:41" ht="24.75" customHeight="1" x14ac:dyDescent="0.25">
      <c r="A16" s="878" t="s">
        <v>4263</v>
      </c>
      <c r="B16" s="973">
        <v>2295.7877400000002</v>
      </c>
      <c r="C16" s="722">
        <v>37</v>
      </c>
      <c r="D16" s="1002">
        <v>9</v>
      </c>
      <c r="E16" s="985">
        <v>24.3</v>
      </c>
      <c r="F16" s="984">
        <v>7</v>
      </c>
      <c r="G16" s="988">
        <v>18.91892</v>
      </c>
      <c r="H16" s="984">
        <v>4</v>
      </c>
      <c r="I16" s="985">
        <v>10.81081</v>
      </c>
      <c r="J16" s="984">
        <v>5</v>
      </c>
      <c r="K16" s="988">
        <v>13.51351</v>
      </c>
      <c r="L16" s="215">
        <v>4</v>
      </c>
      <c r="M16" s="1043">
        <v>10.81081</v>
      </c>
      <c r="N16" s="990">
        <v>0</v>
      </c>
      <c r="O16" s="990">
        <v>0</v>
      </c>
      <c r="P16" s="990">
        <v>1</v>
      </c>
      <c r="Q16" s="990">
        <v>1</v>
      </c>
      <c r="R16" s="990">
        <v>0</v>
      </c>
      <c r="S16" s="990">
        <v>0</v>
      </c>
      <c r="T16" s="990">
        <v>0</v>
      </c>
      <c r="U16" s="990">
        <v>0</v>
      </c>
      <c r="V16" s="990">
        <v>0</v>
      </c>
      <c r="W16" s="990">
        <v>0</v>
      </c>
      <c r="X16" s="990">
        <v>0</v>
      </c>
      <c r="Y16" s="990">
        <v>0</v>
      </c>
      <c r="Z16" s="990">
        <v>0</v>
      </c>
      <c r="AA16" s="990">
        <v>0</v>
      </c>
      <c r="AB16" s="990">
        <v>0</v>
      </c>
      <c r="AC16" s="985">
        <v>0</v>
      </c>
      <c r="AD16" s="990">
        <v>31</v>
      </c>
      <c r="AE16" s="1003">
        <v>83.783779999999993</v>
      </c>
      <c r="AF16" s="1012">
        <v>59.483780000000003</v>
      </c>
      <c r="AG16" s="1002">
        <v>1</v>
      </c>
      <c r="AH16" s="990">
        <v>0</v>
      </c>
      <c r="AI16" s="990">
        <v>0</v>
      </c>
      <c r="AJ16" s="990">
        <v>4</v>
      </c>
      <c r="AK16" s="990">
        <v>1</v>
      </c>
      <c r="AL16" s="985">
        <v>0</v>
      </c>
      <c r="AM16" s="990">
        <v>6</v>
      </c>
      <c r="AN16" s="1046">
        <v>16.21622</v>
      </c>
      <c r="AO16" s="722">
        <v>100</v>
      </c>
    </row>
    <row r="17" spans="1:41" x14ac:dyDescent="0.25">
      <c r="A17" s="721" t="s">
        <v>4266</v>
      </c>
      <c r="B17" s="973">
        <v>2780.99955</v>
      </c>
      <c r="C17" s="722">
        <v>179</v>
      </c>
      <c r="D17" s="1002">
        <v>34</v>
      </c>
      <c r="E17" s="985">
        <v>19</v>
      </c>
      <c r="F17" s="984">
        <v>32</v>
      </c>
      <c r="G17" s="988">
        <v>17.877089999999999</v>
      </c>
      <c r="H17" s="984">
        <v>22</v>
      </c>
      <c r="I17" s="985">
        <v>12.2905</v>
      </c>
      <c r="J17" s="984">
        <v>19</v>
      </c>
      <c r="K17" s="988">
        <v>10.61453</v>
      </c>
      <c r="L17" s="215">
        <v>37</v>
      </c>
      <c r="M17" s="1043">
        <v>20.670390000000001</v>
      </c>
      <c r="N17" s="990">
        <v>8</v>
      </c>
      <c r="O17" s="990">
        <v>7</v>
      </c>
      <c r="P17" s="990">
        <v>7</v>
      </c>
      <c r="Q17" s="990">
        <v>1</v>
      </c>
      <c r="R17" s="990">
        <v>0</v>
      </c>
      <c r="S17" s="990">
        <v>0</v>
      </c>
      <c r="T17" s="990">
        <v>0</v>
      </c>
      <c r="U17" s="990">
        <v>0</v>
      </c>
      <c r="V17" s="990">
        <v>0</v>
      </c>
      <c r="W17" s="990">
        <v>2</v>
      </c>
      <c r="X17" s="990">
        <v>0</v>
      </c>
      <c r="Y17" s="990">
        <v>0</v>
      </c>
      <c r="Z17" s="990">
        <v>0</v>
      </c>
      <c r="AA17" s="990">
        <v>0</v>
      </c>
      <c r="AB17" s="990">
        <v>4</v>
      </c>
      <c r="AC17" s="985">
        <v>1</v>
      </c>
      <c r="AD17" s="990">
        <v>174</v>
      </c>
      <c r="AE17" s="1003">
        <v>97.206699999999998</v>
      </c>
      <c r="AF17" s="1012">
        <v>78.206699999999998</v>
      </c>
      <c r="AG17" s="1002">
        <v>0</v>
      </c>
      <c r="AH17" s="990">
        <v>0</v>
      </c>
      <c r="AI17" s="990">
        <v>0</v>
      </c>
      <c r="AJ17" s="990">
        <v>5</v>
      </c>
      <c r="AK17" s="990">
        <v>0</v>
      </c>
      <c r="AL17" s="985">
        <v>0</v>
      </c>
      <c r="AM17" s="990">
        <v>5</v>
      </c>
      <c r="AN17" s="1046">
        <v>2.7932999999999999</v>
      </c>
      <c r="AO17" s="722">
        <v>100</v>
      </c>
    </row>
    <row r="18" spans="1:41" x14ac:dyDescent="0.25">
      <c r="A18" s="721" t="s">
        <v>4261</v>
      </c>
      <c r="B18" s="973">
        <v>2985.8378299999999</v>
      </c>
      <c r="C18" s="722">
        <v>70</v>
      </c>
      <c r="D18" s="1002">
        <v>15</v>
      </c>
      <c r="E18" s="985">
        <v>21.4</v>
      </c>
      <c r="F18" s="984">
        <v>11</v>
      </c>
      <c r="G18" s="988">
        <v>15.71429</v>
      </c>
      <c r="H18" s="984">
        <v>0</v>
      </c>
      <c r="I18" s="985">
        <v>0</v>
      </c>
      <c r="J18" s="984">
        <v>11</v>
      </c>
      <c r="K18" s="988">
        <v>15.71429</v>
      </c>
      <c r="L18" s="215">
        <v>18</v>
      </c>
      <c r="M18" s="1043">
        <v>25.714289999999998</v>
      </c>
      <c r="N18" s="990">
        <v>2</v>
      </c>
      <c r="O18" s="990">
        <v>1</v>
      </c>
      <c r="P18" s="990">
        <v>1</v>
      </c>
      <c r="Q18" s="990">
        <v>3</v>
      </c>
      <c r="R18" s="990">
        <v>0</v>
      </c>
      <c r="S18" s="990">
        <v>0</v>
      </c>
      <c r="T18" s="990">
        <v>0</v>
      </c>
      <c r="U18" s="990">
        <v>0</v>
      </c>
      <c r="V18" s="990">
        <v>0</v>
      </c>
      <c r="W18" s="990">
        <v>0</v>
      </c>
      <c r="X18" s="990">
        <v>0</v>
      </c>
      <c r="Y18" s="990">
        <v>0</v>
      </c>
      <c r="Z18" s="990">
        <v>0</v>
      </c>
      <c r="AA18" s="990">
        <v>1</v>
      </c>
      <c r="AB18" s="990">
        <v>0</v>
      </c>
      <c r="AC18" s="985">
        <v>0</v>
      </c>
      <c r="AD18" s="990">
        <v>63</v>
      </c>
      <c r="AE18" s="1003">
        <v>90</v>
      </c>
      <c r="AF18" s="1012">
        <v>68.599999999999994</v>
      </c>
      <c r="AG18" s="1002">
        <v>0</v>
      </c>
      <c r="AH18" s="990">
        <v>0</v>
      </c>
      <c r="AI18" s="990">
        <v>0</v>
      </c>
      <c r="AJ18" s="990">
        <v>7</v>
      </c>
      <c r="AK18" s="990">
        <v>0</v>
      </c>
      <c r="AL18" s="985">
        <v>0</v>
      </c>
      <c r="AM18" s="990">
        <v>7</v>
      </c>
      <c r="AN18" s="1046">
        <v>10</v>
      </c>
      <c r="AO18" s="722">
        <v>100</v>
      </c>
    </row>
    <row r="19" spans="1:41" ht="24" thickBot="1" x14ac:dyDescent="0.3">
      <c r="A19" s="878" t="s">
        <v>4267</v>
      </c>
      <c r="B19" s="973">
        <v>3056.7242999999999</v>
      </c>
      <c r="C19" s="722">
        <v>133</v>
      </c>
      <c r="D19" s="975">
        <v>31</v>
      </c>
      <c r="E19" s="1004">
        <v>23.3</v>
      </c>
      <c r="F19" s="1005">
        <v>12</v>
      </c>
      <c r="G19" s="1006">
        <v>9.0225600000000004</v>
      </c>
      <c r="H19" s="1005">
        <v>6</v>
      </c>
      <c r="I19" s="1004">
        <v>4.5112800000000002</v>
      </c>
      <c r="J19" s="1005">
        <v>19</v>
      </c>
      <c r="K19" s="1006">
        <v>14.28571</v>
      </c>
      <c r="L19" s="1007">
        <v>32</v>
      </c>
      <c r="M19" s="1044">
        <v>24.06015</v>
      </c>
      <c r="N19" s="1008">
        <v>3</v>
      </c>
      <c r="O19" s="1008">
        <v>5</v>
      </c>
      <c r="P19" s="1008">
        <v>0</v>
      </c>
      <c r="Q19" s="1008">
        <v>5</v>
      </c>
      <c r="R19" s="1008">
        <v>0</v>
      </c>
      <c r="S19" s="1008">
        <v>0</v>
      </c>
      <c r="T19" s="1008">
        <v>0</v>
      </c>
      <c r="U19" s="1008">
        <v>1</v>
      </c>
      <c r="V19" s="1008">
        <v>0</v>
      </c>
      <c r="W19" s="1008">
        <v>0</v>
      </c>
      <c r="X19" s="1008">
        <v>0</v>
      </c>
      <c r="Y19" s="1008">
        <v>0</v>
      </c>
      <c r="Z19" s="1008">
        <v>0</v>
      </c>
      <c r="AA19" s="1008">
        <v>0</v>
      </c>
      <c r="AB19" s="1008">
        <v>2</v>
      </c>
      <c r="AC19" s="1004">
        <v>0</v>
      </c>
      <c r="AD19" s="1008">
        <v>116</v>
      </c>
      <c r="AE19" s="1009">
        <v>87.218050000000005</v>
      </c>
      <c r="AF19" s="1014">
        <v>63.918050000000001</v>
      </c>
      <c r="AG19" s="975">
        <v>0</v>
      </c>
      <c r="AH19" s="1008">
        <v>0</v>
      </c>
      <c r="AI19" s="1008">
        <v>1</v>
      </c>
      <c r="AJ19" s="1008">
        <v>12</v>
      </c>
      <c r="AK19" s="1008">
        <v>4</v>
      </c>
      <c r="AL19" s="1004">
        <v>0</v>
      </c>
      <c r="AM19" s="1008">
        <v>17</v>
      </c>
      <c r="AN19" s="1047">
        <v>12.78195</v>
      </c>
      <c r="AO19" s="722">
        <v>100</v>
      </c>
    </row>
    <row r="20" spans="1:41" x14ac:dyDescent="0.25">
      <c r="A20" s="884" t="s">
        <v>4628</v>
      </c>
      <c r="B20" s="722"/>
      <c r="C20" s="722">
        <f>SUM(C10:C19)</f>
        <v>715</v>
      </c>
      <c r="D20" s="722"/>
      <c r="E20" s="722"/>
      <c r="F20" s="722"/>
      <c r="G20" s="722"/>
      <c r="H20" s="722"/>
      <c r="I20" s="722"/>
      <c r="J20" s="722"/>
      <c r="K20" s="722"/>
      <c r="L20" s="976" t="s">
        <v>4602</v>
      </c>
      <c r="M20" s="977"/>
      <c r="N20" s="996"/>
      <c r="O20" s="722"/>
      <c r="P20" s="722"/>
      <c r="Q20" s="722"/>
      <c r="R20" s="722"/>
      <c r="S20" s="722"/>
      <c r="T20" s="722"/>
      <c r="U20" s="722"/>
      <c r="V20" s="722"/>
      <c r="W20" s="722"/>
      <c r="X20" s="722"/>
      <c r="Y20" s="722"/>
      <c r="Z20" s="722"/>
      <c r="AA20" s="722"/>
      <c r="AB20" s="722"/>
      <c r="AC20" s="722"/>
      <c r="AD20" s="722"/>
      <c r="AE20" s="722"/>
      <c r="AF20" s="722"/>
      <c r="AG20" s="722"/>
      <c r="AH20" s="721"/>
      <c r="AI20" s="721"/>
      <c r="AJ20" s="721"/>
      <c r="AK20" s="721"/>
      <c r="AL20" s="722"/>
      <c r="AM20" s="721"/>
      <c r="AN20" s="721"/>
      <c r="AO20" s="721"/>
    </row>
    <row r="21" spans="1:41" x14ac:dyDescent="0.25">
      <c r="A21" s="721"/>
      <c r="B21" s="722"/>
      <c r="C21" s="722"/>
      <c r="D21" s="722"/>
      <c r="E21" s="722"/>
      <c r="F21" s="722"/>
      <c r="G21" s="722"/>
      <c r="H21" s="722"/>
      <c r="I21" s="722"/>
      <c r="J21" s="722"/>
      <c r="K21" s="722"/>
      <c r="L21" s="978" t="s">
        <v>4601</v>
      </c>
      <c r="M21" s="979"/>
      <c r="N21" s="980"/>
      <c r="O21" s="722"/>
      <c r="P21" s="722"/>
      <c r="Q21" s="722"/>
      <c r="R21" s="722"/>
      <c r="S21" s="722"/>
      <c r="T21" s="722"/>
      <c r="U21" s="722"/>
      <c r="V21" s="722"/>
      <c r="W21" s="722"/>
      <c r="X21" s="722"/>
      <c r="Y21" s="722"/>
      <c r="Z21" s="722"/>
      <c r="AA21" s="722"/>
      <c r="AB21" s="722"/>
      <c r="AC21" s="722"/>
      <c r="AD21" s="722"/>
      <c r="AE21" s="722"/>
      <c r="AF21" s="722"/>
      <c r="AG21" s="722"/>
      <c r="AH21" s="721"/>
      <c r="AI21" s="721"/>
      <c r="AJ21" s="721"/>
      <c r="AK21" s="721"/>
      <c r="AL21" s="722"/>
      <c r="AM21" s="721"/>
      <c r="AN21" s="721"/>
      <c r="AO21" s="721"/>
    </row>
    <row r="22" spans="1:41" ht="30.75" customHeight="1" x14ac:dyDescent="0.25">
      <c r="L22" s="232"/>
      <c r="M22" s="29"/>
    </row>
    <row r="23" spans="1:41" ht="24" customHeight="1" x14ac:dyDescent="0.3">
      <c r="B23" s="946" t="s">
        <v>4735</v>
      </c>
      <c r="L23" s="232"/>
      <c r="M23" s="29"/>
    </row>
    <row r="24" spans="1:41" ht="15.75" customHeight="1" x14ac:dyDescent="0.25">
      <c r="B24" s="877" t="s">
        <v>4640</v>
      </c>
      <c r="L24" s="232"/>
      <c r="M24" s="29"/>
    </row>
    <row r="25" spans="1:41" x14ac:dyDescent="0.25">
      <c r="B25" s="9" t="s">
        <v>4690</v>
      </c>
    </row>
    <row r="26" spans="1:41" x14ac:dyDescent="0.25">
      <c r="B26" s="877" t="s">
        <v>4723</v>
      </c>
    </row>
    <row r="27" spans="1:41" ht="47.25" customHeight="1" thickBot="1" x14ac:dyDescent="0.3">
      <c r="L27" s="232"/>
      <c r="M27" s="29"/>
    </row>
    <row r="28" spans="1:41" ht="21.75" customHeight="1" x14ac:dyDescent="0.25">
      <c r="A28" s="721"/>
      <c r="B28" s="722"/>
      <c r="C28" s="722"/>
      <c r="D28" s="964"/>
      <c r="E28" s="965"/>
      <c r="F28" s="965"/>
      <c r="G28" s="965"/>
      <c r="H28" s="965"/>
      <c r="I28" s="965"/>
      <c r="J28" s="965"/>
      <c r="K28" s="966" t="s">
        <v>4590</v>
      </c>
      <c r="L28" s="965"/>
      <c r="M28" s="965"/>
      <c r="N28" s="965"/>
      <c r="O28" s="965"/>
      <c r="P28" s="965"/>
      <c r="Q28" s="965"/>
      <c r="R28" s="965"/>
      <c r="S28" s="965"/>
      <c r="T28" s="965"/>
      <c r="U28" s="965"/>
      <c r="V28" s="965"/>
      <c r="W28" s="965"/>
      <c r="X28" s="965"/>
      <c r="Y28" s="967"/>
      <c r="Z28" s="964"/>
      <c r="AA28" s="74"/>
      <c r="AB28" s="965"/>
      <c r="AC28" s="966" t="s">
        <v>4589</v>
      </c>
      <c r="AD28" s="965"/>
      <c r="AE28" s="74"/>
      <c r="AF28" s="967"/>
      <c r="AG28" s="990"/>
      <c r="AH28" s="59"/>
      <c r="AI28" s="59"/>
      <c r="AJ28" s="59"/>
      <c r="AK28" s="59"/>
      <c r="AL28" s="896"/>
      <c r="AM28" s="59"/>
      <c r="AN28" s="59"/>
    </row>
    <row r="29" spans="1:41" ht="61.5" customHeight="1" thickBot="1" x14ac:dyDescent="0.35">
      <c r="A29" s="1031" t="s">
        <v>4597</v>
      </c>
      <c r="B29" s="970" t="s">
        <v>4578</v>
      </c>
      <c r="C29" s="974" t="s">
        <v>4600</v>
      </c>
      <c r="D29" s="989" t="s">
        <v>43</v>
      </c>
      <c r="E29" s="983" t="s">
        <v>4579</v>
      </c>
      <c r="F29" s="983" t="s">
        <v>109</v>
      </c>
      <c r="G29" s="983" t="s">
        <v>4580</v>
      </c>
      <c r="H29" s="986" t="s">
        <v>13</v>
      </c>
      <c r="I29" s="986" t="s">
        <v>4581</v>
      </c>
      <c r="J29" s="983" t="s">
        <v>34</v>
      </c>
      <c r="K29" s="983" t="s">
        <v>4582</v>
      </c>
      <c r="L29" s="983" t="s">
        <v>32</v>
      </c>
      <c r="M29" s="983" t="s">
        <v>10</v>
      </c>
      <c r="N29" s="983" t="s">
        <v>87</v>
      </c>
      <c r="O29" s="983" t="s">
        <v>86</v>
      </c>
      <c r="P29" s="983" t="s">
        <v>305</v>
      </c>
      <c r="Q29" s="983" t="s">
        <v>306</v>
      </c>
      <c r="R29" s="983" t="s">
        <v>170</v>
      </c>
      <c r="S29" s="983" t="s">
        <v>4568</v>
      </c>
      <c r="T29" s="983" t="s">
        <v>3923</v>
      </c>
      <c r="U29" s="983" t="s">
        <v>273</v>
      </c>
      <c r="V29" s="983" t="s">
        <v>80</v>
      </c>
      <c r="W29" s="1015" t="s">
        <v>4584</v>
      </c>
      <c r="X29" s="992" t="s">
        <v>4634</v>
      </c>
      <c r="Y29" s="993" t="s">
        <v>4587</v>
      </c>
      <c r="Z29" s="1024" t="s">
        <v>8</v>
      </c>
      <c r="AA29" s="971" t="s">
        <v>162</v>
      </c>
      <c r="AB29" s="971" t="s">
        <v>9</v>
      </c>
      <c r="AC29" s="971" t="s">
        <v>1316</v>
      </c>
      <c r="AD29" s="971" t="s">
        <v>18</v>
      </c>
      <c r="AE29" s="1023" t="s">
        <v>4585</v>
      </c>
      <c r="AF29" s="982" t="s">
        <v>4633</v>
      </c>
      <c r="AG29" s="981" t="s">
        <v>4588</v>
      </c>
      <c r="AH29" s="59"/>
      <c r="AI29" s="59"/>
      <c r="AJ29" s="59"/>
      <c r="AK29" s="59"/>
      <c r="AL29" s="896"/>
      <c r="AM29" s="59"/>
      <c r="AN29" s="59"/>
    </row>
    <row r="30" spans="1:41" ht="23.25" x14ac:dyDescent="0.25">
      <c r="A30" s="878" t="s">
        <v>4239</v>
      </c>
      <c r="B30" s="973">
        <v>158.60299000000001</v>
      </c>
      <c r="C30" s="722">
        <v>19</v>
      </c>
      <c r="D30" s="964">
        <v>9</v>
      </c>
      <c r="E30" s="997">
        <v>47.4</v>
      </c>
      <c r="F30" s="998">
        <v>1</v>
      </c>
      <c r="G30" s="999">
        <v>5.2631600000000001</v>
      </c>
      <c r="H30" s="998">
        <v>0</v>
      </c>
      <c r="I30" s="997">
        <v>0</v>
      </c>
      <c r="J30" s="998">
        <v>1</v>
      </c>
      <c r="K30" s="999">
        <v>5.2631600000000001</v>
      </c>
      <c r="L30" s="965">
        <v>1</v>
      </c>
      <c r="M30" s="965">
        <v>0</v>
      </c>
      <c r="N30" s="965">
        <v>0</v>
      </c>
      <c r="O30" s="965">
        <v>0</v>
      </c>
      <c r="P30" s="965">
        <v>1</v>
      </c>
      <c r="Q30" s="965">
        <v>1</v>
      </c>
      <c r="R30" s="965">
        <v>1</v>
      </c>
      <c r="S30" s="965">
        <v>1</v>
      </c>
      <c r="T30" s="965">
        <v>0</v>
      </c>
      <c r="U30" s="965">
        <v>0</v>
      </c>
      <c r="V30" s="997">
        <v>0</v>
      </c>
      <c r="W30" s="965">
        <v>16</v>
      </c>
      <c r="X30" s="1010">
        <v>84.210530000000006</v>
      </c>
      <c r="Y30" s="1011">
        <v>36.81053</v>
      </c>
      <c r="Z30" s="1033">
        <v>1</v>
      </c>
      <c r="AA30" s="1034">
        <v>0</v>
      </c>
      <c r="AB30" s="1034">
        <v>0</v>
      </c>
      <c r="AC30" s="1034">
        <v>0</v>
      </c>
      <c r="AD30" s="1035">
        <v>2</v>
      </c>
      <c r="AE30" s="1034">
        <f>SUM(Z30:AD30)</f>
        <v>3</v>
      </c>
      <c r="AF30" s="1048">
        <v>15.78947</v>
      </c>
      <c r="AG30" s="722">
        <v>100</v>
      </c>
    </row>
    <row r="31" spans="1:41" ht="23.25" customHeight="1" x14ac:dyDescent="0.25">
      <c r="A31" s="878" t="s">
        <v>4635</v>
      </c>
      <c r="B31" s="722">
        <v>1902</v>
      </c>
      <c r="C31" s="722">
        <v>18</v>
      </c>
      <c r="D31" s="1002">
        <v>6</v>
      </c>
      <c r="E31" s="985">
        <v>33.299999999999997</v>
      </c>
      <c r="F31" s="984">
        <v>3</v>
      </c>
      <c r="G31" s="988">
        <v>16.66667</v>
      </c>
      <c r="H31" s="984">
        <v>0</v>
      </c>
      <c r="I31" s="985">
        <v>0</v>
      </c>
      <c r="J31" s="984">
        <v>1</v>
      </c>
      <c r="K31" s="988">
        <v>5.5555599999999998</v>
      </c>
      <c r="L31" s="990">
        <v>0</v>
      </c>
      <c r="M31" s="990">
        <v>0</v>
      </c>
      <c r="N31" s="990">
        <v>0</v>
      </c>
      <c r="O31" s="990">
        <v>1</v>
      </c>
      <c r="P31" s="990">
        <v>0</v>
      </c>
      <c r="Q31" s="990">
        <v>0</v>
      </c>
      <c r="R31" s="990">
        <v>0</v>
      </c>
      <c r="S31" s="990">
        <v>0</v>
      </c>
      <c r="T31" s="990">
        <v>1</v>
      </c>
      <c r="U31" s="990">
        <v>0</v>
      </c>
      <c r="V31" s="985">
        <v>0</v>
      </c>
      <c r="W31" s="990">
        <v>12</v>
      </c>
      <c r="X31" s="800">
        <v>66.666669999999996</v>
      </c>
      <c r="Y31" s="1012">
        <v>33.366669999999999</v>
      </c>
      <c r="Z31" s="1036">
        <v>0</v>
      </c>
      <c r="AA31" s="1037">
        <v>0</v>
      </c>
      <c r="AB31" s="1037">
        <v>0</v>
      </c>
      <c r="AC31" s="1037">
        <v>0</v>
      </c>
      <c r="AD31" s="1038">
        <v>6</v>
      </c>
      <c r="AE31" s="1037">
        <f t="shared" ref="AE31:AE36" si="0">SUM(Z31:AD31)</f>
        <v>6</v>
      </c>
      <c r="AF31" s="1049">
        <v>33.333329999999997</v>
      </c>
      <c r="AG31" s="722">
        <v>100</v>
      </c>
    </row>
    <row r="32" spans="1:41" x14ac:dyDescent="0.25">
      <c r="A32" s="721" t="s">
        <v>4278</v>
      </c>
      <c r="B32" s="722">
        <v>2759</v>
      </c>
      <c r="C32" s="722">
        <v>21</v>
      </c>
      <c r="D32" s="1002">
        <v>4</v>
      </c>
      <c r="E32" s="985">
        <v>19</v>
      </c>
      <c r="F32" s="984">
        <v>2</v>
      </c>
      <c r="G32" s="988">
        <v>9.5238099999999992</v>
      </c>
      <c r="H32" s="984">
        <v>1</v>
      </c>
      <c r="I32" s="985">
        <v>4.7618999999999998</v>
      </c>
      <c r="J32" s="984">
        <v>3</v>
      </c>
      <c r="K32" s="988">
        <v>14.28571</v>
      </c>
      <c r="L32" s="990">
        <v>1</v>
      </c>
      <c r="M32" s="990">
        <v>4</v>
      </c>
      <c r="N32" s="990">
        <v>0</v>
      </c>
      <c r="O32" s="990">
        <v>0</v>
      </c>
      <c r="P32" s="990">
        <v>0</v>
      </c>
      <c r="Q32" s="990">
        <v>0</v>
      </c>
      <c r="R32" s="990">
        <v>0</v>
      </c>
      <c r="S32" s="990">
        <v>0</v>
      </c>
      <c r="T32" s="990">
        <v>0</v>
      </c>
      <c r="U32" s="990">
        <v>0</v>
      </c>
      <c r="V32" s="985">
        <v>0</v>
      </c>
      <c r="W32" s="990">
        <v>15</v>
      </c>
      <c r="X32" s="800">
        <v>71.428569999999993</v>
      </c>
      <c r="Y32" s="1012">
        <v>52.428570000000001</v>
      </c>
      <c r="Z32" s="1036">
        <v>0</v>
      </c>
      <c r="AA32" s="1037">
        <v>0</v>
      </c>
      <c r="AB32" s="1037">
        <v>0</v>
      </c>
      <c r="AC32" s="1037">
        <v>2</v>
      </c>
      <c r="AD32" s="1038">
        <v>4</v>
      </c>
      <c r="AE32" s="1037">
        <f t="shared" si="0"/>
        <v>6</v>
      </c>
      <c r="AF32" s="1049">
        <v>28.571429999999999</v>
      </c>
      <c r="AG32" s="722">
        <v>100</v>
      </c>
    </row>
    <row r="33" spans="1:33" x14ac:dyDescent="0.25">
      <c r="A33" s="721" t="s">
        <v>4279</v>
      </c>
      <c r="B33" s="722">
        <v>3313</v>
      </c>
      <c r="C33" s="722">
        <v>23</v>
      </c>
      <c r="D33" s="1002">
        <v>7</v>
      </c>
      <c r="E33" s="985">
        <v>30.4</v>
      </c>
      <c r="F33" s="984">
        <v>3</v>
      </c>
      <c r="G33" s="988">
        <v>13.043480000000001</v>
      </c>
      <c r="H33" s="984">
        <v>2</v>
      </c>
      <c r="I33" s="985">
        <v>8.6956500000000005</v>
      </c>
      <c r="J33" s="984">
        <v>2</v>
      </c>
      <c r="K33" s="988">
        <v>8.6956500000000005</v>
      </c>
      <c r="L33" s="990">
        <v>0</v>
      </c>
      <c r="M33" s="990">
        <v>0</v>
      </c>
      <c r="N33" s="990">
        <v>0</v>
      </c>
      <c r="O33" s="990">
        <v>0</v>
      </c>
      <c r="P33" s="990">
        <v>0</v>
      </c>
      <c r="Q33" s="990">
        <v>0</v>
      </c>
      <c r="R33" s="990">
        <v>0</v>
      </c>
      <c r="S33" s="990">
        <v>0</v>
      </c>
      <c r="T33" s="990">
        <v>0</v>
      </c>
      <c r="U33" s="990">
        <v>0</v>
      </c>
      <c r="V33" s="985">
        <v>0</v>
      </c>
      <c r="W33" s="990">
        <v>14</v>
      </c>
      <c r="X33" s="800">
        <v>60.869570000000003</v>
      </c>
      <c r="Y33" s="1012">
        <v>30.469570000000001</v>
      </c>
      <c r="Z33" s="1036">
        <v>0</v>
      </c>
      <c r="AA33" s="1037">
        <v>0</v>
      </c>
      <c r="AB33" s="1037">
        <v>2</v>
      </c>
      <c r="AC33" s="1037">
        <v>3</v>
      </c>
      <c r="AD33" s="1038">
        <v>4</v>
      </c>
      <c r="AE33" s="1037">
        <f t="shared" si="0"/>
        <v>9</v>
      </c>
      <c r="AF33" s="1049">
        <v>39.130429999999997</v>
      </c>
      <c r="AG33" s="722">
        <v>100</v>
      </c>
    </row>
    <row r="34" spans="1:33" ht="23.25" x14ac:dyDescent="0.25">
      <c r="A34" s="878" t="s">
        <v>4275</v>
      </c>
      <c r="B34" s="722">
        <v>4298</v>
      </c>
      <c r="C34" s="722">
        <v>85</v>
      </c>
      <c r="D34" s="1002">
        <v>17</v>
      </c>
      <c r="E34" s="985">
        <v>20</v>
      </c>
      <c r="F34" s="984">
        <v>2</v>
      </c>
      <c r="G34" s="988">
        <v>2.3529399999999998</v>
      </c>
      <c r="H34" s="984">
        <v>0</v>
      </c>
      <c r="I34" s="985">
        <v>0</v>
      </c>
      <c r="J34" s="984">
        <v>15</v>
      </c>
      <c r="K34" s="988">
        <v>17.64706</v>
      </c>
      <c r="L34" s="990">
        <v>3</v>
      </c>
      <c r="M34" s="990">
        <v>3</v>
      </c>
      <c r="N34" s="990">
        <v>2</v>
      </c>
      <c r="O34" s="990">
        <v>7</v>
      </c>
      <c r="P34" s="990">
        <v>0</v>
      </c>
      <c r="Q34" s="990">
        <v>0</v>
      </c>
      <c r="R34" s="990">
        <v>0</v>
      </c>
      <c r="S34" s="990">
        <v>0</v>
      </c>
      <c r="T34" s="990">
        <v>0</v>
      </c>
      <c r="U34" s="990">
        <v>2</v>
      </c>
      <c r="V34" s="985">
        <v>0</v>
      </c>
      <c r="W34" s="990">
        <v>51</v>
      </c>
      <c r="X34" s="800">
        <v>60</v>
      </c>
      <c r="Y34" s="1012">
        <v>40</v>
      </c>
      <c r="Z34" s="1036">
        <v>0</v>
      </c>
      <c r="AA34" s="1037">
        <v>0</v>
      </c>
      <c r="AB34" s="1037">
        <v>9</v>
      </c>
      <c r="AC34" s="1037">
        <v>2</v>
      </c>
      <c r="AD34" s="1038">
        <v>23</v>
      </c>
      <c r="AE34" s="1037">
        <f t="shared" si="0"/>
        <v>34</v>
      </c>
      <c r="AF34" s="1049">
        <v>40</v>
      </c>
      <c r="AG34" s="722">
        <v>100</v>
      </c>
    </row>
    <row r="35" spans="1:33" x14ac:dyDescent="0.25">
      <c r="A35" s="721" t="s">
        <v>4276</v>
      </c>
      <c r="B35" s="722">
        <v>4806</v>
      </c>
      <c r="C35" s="722">
        <v>84</v>
      </c>
      <c r="D35" s="1002">
        <v>19</v>
      </c>
      <c r="E35" s="985">
        <v>22.6</v>
      </c>
      <c r="F35" s="984">
        <v>7</v>
      </c>
      <c r="G35" s="988">
        <v>8.3333300000000001</v>
      </c>
      <c r="H35" s="984">
        <v>2</v>
      </c>
      <c r="I35" s="985">
        <v>2.3809499999999999</v>
      </c>
      <c r="J35" s="984">
        <v>7</v>
      </c>
      <c r="K35" s="988">
        <v>8.3333300000000001</v>
      </c>
      <c r="L35" s="990">
        <v>2</v>
      </c>
      <c r="M35" s="990">
        <v>2</v>
      </c>
      <c r="N35" s="990">
        <v>0</v>
      </c>
      <c r="O35" s="990">
        <v>5</v>
      </c>
      <c r="P35" s="990">
        <v>0</v>
      </c>
      <c r="Q35" s="990">
        <v>0</v>
      </c>
      <c r="R35" s="990">
        <v>4</v>
      </c>
      <c r="S35" s="990">
        <v>0</v>
      </c>
      <c r="T35" s="990">
        <v>0</v>
      </c>
      <c r="U35" s="990">
        <v>0</v>
      </c>
      <c r="V35" s="985">
        <v>1</v>
      </c>
      <c r="W35" s="990">
        <v>49</v>
      </c>
      <c r="X35" s="800">
        <v>58.333329999999997</v>
      </c>
      <c r="Y35" s="1012">
        <v>35.733330000000002</v>
      </c>
      <c r="Z35" s="1036">
        <v>8</v>
      </c>
      <c r="AA35" s="1037">
        <v>0</v>
      </c>
      <c r="AB35" s="1037">
        <v>3</v>
      </c>
      <c r="AC35" s="1037">
        <v>0</v>
      </c>
      <c r="AD35" s="1038">
        <v>24</v>
      </c>
      <c r="AE35" s="1037">
        <f t="shared" si="0"/>
        <v>35</v>
      </c>
      <c r="AF35" s="1049">
        <v>41.666670000000003</v>
      </c>
      <c r="AG35" s="722">
        <v>100</v>
      </c>
    </row>
    <row r="36" spans="1:33" ht="15.75" thickBot="1" x14ac:dyDescent="0.3">
      <c r="A36" s="721" t="s">
        <v>4277</v>
      </c>
      <c r="B36" s="722">
        <v>6219</v>
      </c>
      <c r="C36" s="722">
        <v>15</v>
      </c>
      <c r="D36" s="975">
        <v>1</v>
      </c>
      <c r="E36" s="1004">
        <v>6.7</v>
      </c>
      <c r="F36" s="1005">
        <v>2</v>
      </c>
      <c r="G36" s="1006">
        <v>13.33333</v>
      </c>
      <c r="H36" s="1005">
        <v>0</v>
      </c>
      <c r="I36" s="1004">
        <v>0</v>
      </c>
      <c r="J36" s="1005">
        <v>2</v>
      </c>
      <c r="K36" s="1006">
        <v>13.33333</v>
      </c>
      <c r="L36" s="1008">
        <v>0</v>
      </c>
      <c r="M36" s="1008">
        <v>1</v>
      </c>
      <c r="N36" s="1008">
        <v>0</v>
      </c>
      <c r="O36" s="1008">
        <v>0</v>
      </c>
      <c r="P36" s="1008">
        <v>0</v>
      </c>
      <c r="Q36" s="1008">
        <v>0</v>
      </c>
      <c r="R36" s="1008">
        <v>0</v>
      </c>
      <c r="S36" s="1008">
        <v>0</v>
      </c>
      <c r="T36" s="1008">
        <v>0</v>
      </c>
      <c r="U36" s="1008">
        <v>0</v>
      </c>
      <c r="V36" s="1004">
        <v>0</v>
      </c>
      <c r="W36" s="1008">
        <v>6</v>
      </c>
      <c r="X36" s="1013">
        <v>40</v>
      </c>
      <c r="Y36" s="1014">
        <v>33.299999999999997</v>
      </c>
      <c r="Z36" s="1039">
        <v>1</v>
      </c>
      <c r="AA36" s="1040">
        <v>0</v>
      </c>
      <c r="AB36" s="1040">
        <v>0</v>
      </c>
      <c r="AC36" s="1040">
        <v>0</v>
      </c>
      <c r="AD36" s="1041">
        <v>8</v>
      </c>
      <c r="AE36" s="1040">
        <f t="shared" si="0"/>
        <v>9</v>
      </c>
      <c r="AF36" s="1050">
        <v>60</v>
      </c>
      <c r="AG36" s="722">
        <v>100</v>
      </c>
    </row>
    <row r="37" spans="1:33" x14ac:dyDescent="0.25">
      <c r="A37" s="884" t="s">
        <v>4628</v>
      </c>
      <c r="C37" s="722">
        <f>SUM(C30:C36)</f>
        <v>265</v>
      </c>
      <c r="G37" s="963"/>
      <c r="Y37" s="963"/>
    </row>
    <row r="38" spans="1:33" x14ac:dyDescent="0.25">
      <c r="A38" s="721" t="s">
        <v>4636</v>
      </c>
      <c r="C38" s="722">
        <f>C31+C32+C33+C34+C35+C36</f>
        <v>246</v>
      </c>
      <c r="G38" s="963"/>
    </row>
    <row r="39" spans="1:33" x14ac:dyDescent="0.25">
      <c r="G39" s="963"/>
    </row>
    <row r="46" spans="1:33" ht="18.75" x14ac:dyDescent="0.3">
      <c r="B46" s="946" t="s">
        <v>4736</v>
      </c>
    </row>
    <row r="47" spans="1:33" x14ac:dyDescent="0.25">
      <c r="B47" s="9" t="s">
        <v>4737</v>
      </c>
    </row>
    <row r="48" spans="1:33" x14ac:dyDescent="0.25">
      <c r="B48" s="877" t="s">
        <v>4642</v>
      </c>
    </row>
    <row r="49" spans="1:41" ht="15.75" thickBot="1" x14ac:dyDescent="0.3"/>
    <row r="50" spans="1:41" ht="20.25" customHeight="1" x14ac:dyDescent="0.25">
      <c r="A50" s="721"/>
      <c r="B50" s="722"/>
      <c r="C50" s="722"/>
      <c r="D50" s="964"/>
      <c r="E50" s="965"/>
      <c r="F50" s="965"/>
      <c r="G50" s="965"/>
      <c r="H50" s="965"/>
      <c r="I50" s="965"/>
      <c r="J50" s="965"/>
      <c r="K50" s="965"/>
      <c r="L50" s="965"/>
      <c r="M50" s="965"/>
      <c r="N50" s="965"/>
      <c r="O50" s="965"/>
      <c r="P50" s="965"/>
      <c r="Q50" s="966" t="s">
        <v>4590</v>
      </c>
      <c r="R50" s="965"/>
      <c r="S50" s="965"/>
      <c r="T50" s="965"/>
      <c r="U50" s="965"/>
      <c r="V50" s="965"/>
      <c r="W50" s="965"/>
      <c r="X50" s="965"/>
      <c r="Y50" s="965"/>
      <c r="Z50" s="965"/>
      <c r="AA50" s="965"/>
      <c r="AB50" s="965"/>
      <c r="AC50" s="965"/>
      <c r="AD50" s="886"/>
      <c r="AE50" s="965"/>
      <c r="AF50" s="965"/>
      <c r="AG50" s="965"/>
      <c r="AH50" s="966" t="s">
        <v>4589</v>
      </c>
      <c r="AI50" s="968"/>
      <c r="AJ50" s="75"/>
      <c r="AK50" s="968"/>
      <c r="AL50" s="965"/>
      <c r="AM50" s="968"/>
      <c r="AN50" s="969"/>
      <c r="AO50" s="721"/>
    </row>
    <row r="51" spans="1:41" s="3" customFormat="1" ht="69" customHeight="1" thickBot="1" x14ac:dyDescent="0.35">
      <c r="A51" s="1031" t="s">
        <v>4575</v>
      </c>
      <c r="B51" s="970" t="s">
        <v>4578</v>
      </c>
      <c r="C51" s="974" t="s">
        <v>4600</v>
      </c>
      <c r="D51" s="1024" t="s">
        <v>43</v>
      </c>
      <c r="E51" s="971" t="s">
        <v>4579</v>
      </c>
      <c r="F51" s="1022" t="s">
        <v>109</v>
      </c>
      <c r="G51" s="1025" t="s">
        <v>4580</v>
      </c>
      <c r="H51" s="1025" t="s">
        <v>13</v>
      </c>
      <c r="I51" s="1025" t="s">
        <v>4581</v>
      </c>
      <c r="J51" s="971" t="s">
        <v>34</v>
      </c>
      <c r="K51" s="971" t="s">
        <v>4582</v>
      </c>
      <c r="L51" s="971" t="s">
        <v>32</v>
      </c>
      <c r="M51" s="971" t="s">
        <v>10</v>
      </c>
      <c r="N51" s="971" t="s">
        <v>87</v>
      </c>
      <c r="O51" s="971" t="s">
        <v>86</v>
      </c>
      <c r="P51" s="971" t="s">
        <v>305</v>
      </c>
      <c r="Q51" s="971" t="s">
        <v>306</v>
      </c>
      <c r="R51" s="971" t="s">
        <v>170</v>
      </c>
      <c r="S51" s="971" t="s">
        <v>4568</v>
      </c>
      <c r="T51" s="1025" t="s">
        <v>2099</v>
      </c>
      <c r="U51" s="971" t="s">
        <v>273</v>
      </c>
      <c r="V51" s="971" t="s">
        <v>3923</v>
      </c>
      <c r="W51" s="1025" t="s">
        <v>3766</v>
      </c>
      <c r="X51" s="971" t="s">
        <v>3768</v>
      </c>
      <c r="Y51" s="971" t="s">
        <v>1706</v>
      </c>
      <c r="Z51" s="971" t="s">
        <v>105</v>
      </c>
      <c r="AA51" s="971" t="s">
        <v>922</v>
      </c>
      <c r="AB51" s="1026" t="s">
        <v>4584</v>
      </c>
      <c r="AC51" s="1027" t="s">
        <v>4637</v>
      </c>
      <c r="AD51" s="1032" t="s">
        <v>4587</v>
      </c>
      <c r="AE51" s="1017" t="s">
        <v>18</v>
      </c>
      <c r="AF51" s="1017" t="s">
        <v>4583</v>
      </c>
      <c r="AG51" s="971" t="s">
        <v>8</v>
      </c>
      <c r="AH51" s="971" t="s">
        <v>1292</v>
      </c>
      <c r="AI51" s="971" t="s">
        <v>162</v>
      </c>
      <c r="AJ51" s="971" t="s">
        <v>9</v>
      </c>
      <c r="AK51" s="971" t="s">
        <v>1316</v>
      </c>
      <c r="AL51" s="1022" t="s">
        <v>3787</v>
      </c>
      <c r="AM51" s="1023" t="s">
        <v>4585</v>
      </c>
      <c r="AN51" s="982" t="s">
        <v>4633</v>
      </c>
      <c r="AO51" s="981" t="s">
        <v>4588</v>
      </c>
    </row>
    <row r="52" spans="1:41" ht="22.5" customHeight="1" x14ac:dyDescent="0.25">
      <c r="A52" s="878" t="s">
        <v>4239</v>
      </c>
      <c r="B52" s="973">
        <v>158.60299000000001</v>
      </c>
      <c r="C52" s="722">
        <v>19</v>
      </c>
      <c r="D52" s="1002">
        <v>9</v>
      </c>
      <c r="E52" s="985">
        <v>47.4</v>
      </c>
      <c r="F52" s="984">
        <v>1</v>
      </c>
      <c r="G52" s="988">
        <v>5.2631600000000001</v>
      </c>
      <c r="H52" s="984">
        <v>0</v>
      </c>
      <c r="I52" s="985">
        <v>0</v>
      </c>
      <c r="J52" s="984">
        <v>1</v>
      </c>
      <c r="K52" s="988">
        <v>5.2631600000000001</v>
      </c>
      <c r="L52" s="990">
        <v>1</v>
      </c>
      <c r="M52" s="990">
        <v>0</v>
      </c>
      <c r="N52" s="990">
        <v>0</v>
      </c>
      <c r="O52" s="990">
        <v>0</v>
      </c>
      <c r="P52" s="990">
        <v>1</v>
      </c>
      <c r="Q52" s="990">
        <v>1</v>
      </c>
      <c r="R52" s="990">
        <v>1</v>
      </c>
      <c r="S52" s="990">
        <v>1</v>
      </c>
      <c r="T52" s="990">
        <v>0</v>
      </c>
      <c r="U52" s="990">
        <v>0</v>
      </c>
      <c r="V52" s="990">
        <v>0</v>
      </c>
      <c r="W52" s="990">
        <v>0</v>
      </c>
      <c r="X52" s="990">
        <v>0</v>
      </c>
      <c r="Y52" s="990">
        <v>0</v>
      </c>
      <c r="Z52" s="990">
        <v>0</v>
      </c>
      <c r="AA52" s="985">
        <v>0</v>
      </c>
      <c r="AB52" s="990">
        <v>16</v>
      </c>
      <c r="AC52" s="1028">
        <v>84.210530000000006</v>
      </c>
      <c r="AD52" s="1054">
        <v>36.81053</v>
      </c>
      <c r="AE52" s="368">
        <v>2</v>
      </c>
      <c r="AF52" s="1042">
        <v>10.52632</v>
      </c>
      <c r="AG52" s="990">
        <v>1</v>
      </c>
      <c r="AH52" s="990">
        <v>0</v>
      </c>
      <c r="AI52" s="990">
        <v>0</v>
      </c>
      <c r="AJ52" s="990">
        <v>0</v>
      </c>
      <c r="AK52" s="990">
        <v>0</v>
      </c>
      <c r="AL52" s="997">
        <v>0</v>
      </c>
      <c r="AM52" s="990">
        <v>3</v>
      </c>
      <c r="AN52" s="1049">
        <v>15.78947</v>
      </c>
      <c r="AO52" s="722">
        <v>100</v>
      </c>
    </row>
    <row r="53" spans="1:41" ht="23.25" x14ac:dyDescent="0.25">
      <c r="A53" s="878" t="s">
        <v>4246</v>
      </c>
      <c r="B53" s="973">
        <v>507.81508000000002</v>
      </c>
      <c r="C53" s="722">
        <v>46</v>
      </c>
      <c r="D53" s="1002">
        <v>16</v>
      </c>
      <c r="E53" s="985">
        <v>34.799999999999997</v>
      </c>
      <c r="F53" s="984">
        <v>5</v>
      </c>
      <c r="G53" s="988">
        <v>10.86957</v>
      </c>
      <c r="H53" s="984">
        <v>7</v>
      </c>
      <c r="I53" s="985">
        <v>15.21739</v>
      </c>
      <c r="J53" s="984">
        <v>0</v>
      </c>
      <c r="K53" s="988">
        <v>0</v>
      </c>
      <c r="L53" s="990">
        <v>0</v>
      </c>
      <c r="M53" s="990">
        <v>0</v>
      </c>
      <c r="N53" s="990">
        <v>1</v>
      </c>
      <c r="O53" s="990">
        <v>1</v>
      </c>
      <c r="P53" s="990">
        <v>0</v>
      </c>
      <c r="Q53" s="990">
        <v>0</v>
      </c>
      <c r="R53" s="990">
        <v>1</v>
      </c>
      <c r="S53" s="990">
        <v>0</v>
      </c>
      <c r="T53" s="990">
        <v>1</v>
      </c>
      <c r="U53" s="990">
        <v>6</v>
      </c>
      <c r="V53" s="990">
        <v>0</v>
      </c>
      <c r="W53" s="990">
        <v>0</v>
      </c>
      <c r="X53" s="990">
        <v>0</v>
      </c>
      <c r="Y53" s="990">
        <v>0</v>
      </c>
      <c r="Z53" s="990">
        <v>0</v>
      </c>
      <c r="AA53" s="985">
        <v>0</v>
      </c>
      <c r="AB53" s="990">
        <v>38</v>
      </c>
      <c r="AC53" s="1028">
        <v>82.608699999999999</v>
      </c>
      <c r="AD53" s="1054">
        <v>47.808700000000002</v>
      </c>
      <c r="AE53" s="368">
        <v>6</v>
      </c>
      <c r="AF53" s="1043">
        <v>13.043480000000001</v>
      </c>
      <c r="AG53" s="990">
        <v>1</v>
      </c>
      <c r="AH53" s="990">
        <v>0</v>
      </c>
      <c r="AI53" s="990">
        <v>0</v>
      </c>
      <c r="AJ53" s="990">
        <v>1</v>
      </c>
      <c r="AK53" s="990">
        <v>0</v>
      </c>
      <c r="AL53" s="985">
        <v>0</v>
      </c>
      <c r="AM53" s="990">
        <v>8</v>
      </c>
      <c r="AN53" s="1049">
        <v>17.391300000000001</v>
      </c>
      <c r="AO53" s="722">
        <v>100</v>
      </c>
    </row>
    <row r="54" spans="1:41" ht="23.25" x14ac:dyDescent="0.25">
      <c r="A54" s="878" t="s">
        <v>4247</v>
      </c>
      <c r="B54" s="973">
        <v>921.36878999999999</v>
      </c>
      <c r="C54" s="722">
        <v>56</v>
      </c>
      <c r="D54" s="1002">
        <v>20</v>
      </c>
      <c r="E54" s="985">
        <v>35.700000000000003</v>
      </c>
      <c r="F54" s="984">
        <v>4</v>
      </c>
      <c r="G54" s="988">
        <v>7.1428599999999998</v>
      </c>
      <c r="H54" s="984">
        <v>8</v>
      </c>
      <c r="I54" s="985">
        <v>14.28571</v>
      </c>
      <c r="J54" s="984">
        <v>6</v>
      </c>
      <c r="K54" s="988">
        <v>10.71429</v>
      </c>
      <c r="L54" s="990">
        <v>1</v>
      </c>
      <c r="M54" s="990">
        <v>0</v>
      </c>
      <c r="N54" s="990">
        <v>2</v>
      </c>
      <c r="O54" s="990">
        <v>5</v>
      </c>
      <c r="P54" s="990">
        <v>4</v>
      </c>
      <c r="Q54" s="990">
        <v>0</v>
      </c>
      <c r="R54" s="990">
        <v>0</v>
      </c>
      <c r="S54" s="990">
        <v>0</v>
      </c>
      <c r="T54" s="990">
        <v>0</v>
      </c>
      <c r="U54" s="990">
        <v>0</v>
      </c>
      <c r="V54" s="990">
        <v>0</v>
      </c>
      <c r="W54" s="990">
        <v>0</v>
      </c>
      <c r="X54" s="990">
        <v>0</v>
      </c>
      <c r="Y54" s="990">
        <v>0</v>
      </c>
      <c r="Z54" s="990">
        <v>0</v>
      </c>
      <c r="AA54" s="985">
        <v>0</v>
      </c>
      <c r="AB54" s="990">
        <v>50</v>
      </c>
      <c r="AC54" s="1028">
        <v>89.285709999999995</v>
      </c>
      <c r="AD54" s="1054">
        <v>53.585709999999999</v>
      </c>
      <c r="AE54" s="368">
        <v>4</v>
      </c>
      <c r="AF54" s="1043">
        <v>7.1428599999999998</v>
      </c>
      <c r="AG54" s="990">
        <v>0</v>
      </c>
      <c r="AH54" s="990">
        <v>0</v>
      </c>
      <c r="AI54" s="990">
        <v>0</v>
      </c>
      <c r="AJ54" s="990">
        <v>0</v>
      </c>
      <c r="AK54" s="990">
        <v>2</v>
      </c>
      <c r="AL54" s="985">
        <v>0</v>
      </c>
      <c r="AM54" s="990">
        <v>6</v>
      </c>
      <c r="AN54" s="1049">
        <v>10.71429</v>
      </c>
      <c r="AO54" s="722">
        <v>100</v>
      </c>
    </row>
    <row r="55" spans="1:41" ht="37.5" customHeight="1" x14ac:dyDescent="0.25">
      <c r="A55" s="878" t="s">
        <v>4576</v>
      </c>
      <c r="B55" s="973">
        <v>1348.01241</v>
      </c>
      <c r="C55" s="722">
        <v>16</v>
      </c>
      <c r="D55" s="1002">
        <v>3</v>
      </c>
      <c r="E55" s="985">
        <v>18.8</v>
      </c>
      <c r="F55" s="984">
        <v>3</v>
      </c>
      <c r="G55" s="988">
        <v>18.75</v>
      </c>
      <c r="H55" s="984">
        <v>0</v>
      </c>
      <c r="I55" s="985">
        <v>0</v>
      </c>
      <c r="J55" s="984">
        <v>1</v>
      </c>
      <c r="K55" s="988">
        <v>6.25</v>
      </c>
      <c r="L55" s="990">
        <v>0</v>
      </c>
      <c r="M55" s="990">
        <v>0</v>
      </c>
      <c r="N55" s="990">
        <v>1</v>
      </c>
      <c r="O55" s="990">
        <v>1</v>
      </c>
      <c r="P55" s="990">
        <v>0</v>
      </c>
      <c r="Q55" s="990">
        <v>0</v>
      </c>
      <c r="R55" s="990">
        <v>0</v>
      </c>
      <c r="S55" s="990">
        <v>0</v>
      </c>
      <c r="T55" s="990">
        <v>0</v>
      </c>
      <c r="U55" s="990">
        <v>0</v>
      </c>
      <c r="V55" s="990">
        <v>2</v>
      </c>
      <c r="W55" s="990">
        <v>0</v>
      </c>
      <c r="X55" s="990">
        <v>0</v>
      </c>
      <c r="Y55" s="990">
        <v>0</v>
      </c>
      <c r="Z55" s="990">
        <v>0</v>
      </c>
      <c r="AA55" s="985">
        <v>0</v>
      </c>
      <c r="AB55" s="990">
        <v>11</v>
      </c>
      <c r="AC55" s="1029">
        <v>68.75</v>
      </c>
      <c r="AD55" s="1054">
        <v>49.95</v>
      </c>
      <c r="AE55" s="368">
        <v>5</v>
      </c>
      <c r="AF55" s="1043">
        <v>31.25</v>
      </c>
      <c r="AG55" s="990">
        <v>0</v>
      </c>
      <c r="AH55" s="990">
        <v>0</v>
      </c>
      <c r="AI55" s="990">
        <v>0</v>
      </c>
      <c r="AJ55" s="990">
        <v>0</v>
      </c>
      <c r="AK55" s="990">
        <v>0</v>
      </c>
      <c r="AL55" s="985">
        <v>0</v>
      </c>
      <c r="AM55" s="990">
        <v>5</v>
      </c>
      <c r="AN55" s="1049">
        <v>31.25</v>
      </c>
      <c r="AO55" s="722">
        <v>100</v>
      </c>
    </row>
    <row r="56" spans="1:41" ht="39" customHeight="1" x14ac:dyDescent="0.25">
      <c r="A56" s="878" t="s">
        <v>4577</v>
      </c>
      <c r="B56" s="973">
        <v>1640.76659</v>
      </c>
      <c r="C56" s="722">
        <v>30</v>
      </c>
      <c r="D56" s="1002">
        <v>5</v>
      </c>
      <c r="E56" s="985">
        <v>16.7</v>
      </c>
      <c r="F56" s="984">
        <v>6</v>
      </c>
      <c r="G56" s="988">
        <v>20</v>
      </c>
      <c r="H56" s="984">
        <v>0</v>
      </c>
      <c r="I56" s="985">
        <v>0</v>
      </c>
      <c r="J56" s="984">
        <v>3</v>
      </c>
      <c r="K56" s="988">
        <v>10</v>
      </c>
      <c r="L56" s="990">
        <v>5</v>
      </c>
      <c r="M56" s="990">
        <v>0</v>
      </c>
      <c r="N56" s="990">
        <v>0</v>
      </c>
      <c r="O56" s="990">
        <v>0</v>
      </c>
      <c r="P56" s="990">
        <v>0</v>
      </c>
      <c r="Q56" s="990">
        <v>0</v>
      </c>
      <c r="R56" s="990">
        <v>0</v>
      </c>
      <c r="S56" s="990">
        <v>0</v>
      </c>
      <c r="T56" s="990">
        <v>0</v>
      </c>
      <c r="U56" s="990">
        <v>2</v>
      </c>
      <c r="V56" s="990">
        <v>1</v>
      </c>
      <c r="W56" s="990">
        <v>0</v>
      </c>
      <c r="X56" s="990">
        <v>0</v>
      </c>
      <c r="Y56" s="990">
        <v>0</v>
      </c>
      <c r="Z56" s="990">
        <v>0</v>
      </c>
      <c r="AA56" s="985">
        <v>0</v>
      </c>
      <c r="AB56" s="990">
        <v>22</v>
      </c>
      <c r="AC56" s="1029">
        <v>73.333330000000004</v>
      </c>
      <c r="AD56" s="1054">
        <v>56.633330000000001</v>
      </c>
      <c r="AE56" s="368">
        <v>8</v>
      </c>
      <c r="AF56" s="1043">
        <v>26.66667</v>
      </c>
      <c r="AG56" s="990">
        <v>0</v>
      </c>
      <c r="AH56" s="990">
        <v>0</v>
      </c>
      <c r="AI56" s="990">
        <v>0</v>
      </c>
      <c r="AJ56" s="990">
        <v>0</v>
      </c>
      <c r="AK56" s="990">
        <v>0</v>
      </c>
      <c r="AL56" s="985">
        <v>0</v>
      </c>
      <c r="AM56" s="990">
        <v>8</v>
      </c>
      <c r="AN56" s="1049">
        <v>26.66667</v>
      </c>
      <c r="AO56" s="722">
        <v>100</v>
      </c>
    </row>
    <row r="57" spans="1:41" x14ac:dyDescent="0.25">
      <c r="A57" s="721" t="s">
        <v>4264</v>
      </c>
      <c r="B57" s="973">
        <v>1997.5042000000001</v>
      </c>
      <c r="C57" s="722">
        <v>129</v>
      </c>
      <c r="D57" s="1002">
        <v>27</v>
      </c>
      <c r="E57" s="985">
        <v>20.9</v>
      </c>
      <c r="F57" s="984">
        <v>22</v>
      </c>
      <c r="G57" s="988">
        <v>17.054259999999999</v>
      </c>
      <c r="H57" s="984">
        <v>12</v>
      </c>
      <c r="I57" s="985">
        <v>9.3023299999999995</v>
      </c>
      <c r="J57" s="984">
        <v>12</v>
      </c>
      <c r="K57" s="988">
        <v>9.3023299999999995</v>
      </c>
      <c r="L57" s="990">
        <v>3</v>
      </c>
      <c r="M57" s="990">
        <v>4</v>
      </c>
      <c r="N57" s="990">
        <v>2</v>
      </c>
      <c r="O57" s="990">
        <v>4</v>
      </c>
      <c r="P57" s="990">
        <v>0</v>
      </c>
      <c r="Q57" s="990">
        <v>0</v>
      </c>
      <c r="R57" s="990">
        <v>3</v>
      </c>
      <c r="S57" s="990">
        <v>0</v>
      </c>
      <c r="T57" s="990">
        <v>0</v>
      </c>
      <c r="U57" s="990">
        <v>1</v>
      </c>
      <c r="V57" s="990">
        <v>2</v>
      </c>
      <c r="W57" s="990">
        <v>1</v>
      </c>
      <c r="X57" s="990">
        <v>1</v>
      </c>
      <c r="Y57" s="990">
        <v>1</v>
      </c>
      <c r="Z57" s="990">
        <v>0</v>
      </c>
      <c r="AA57" s="985">
        <v>0</v>
      </c>
      <c r="AB57" s="990">
        <v>95</v>
      </c>
      <c r="AC57" s="1028">
        <v>73.643410000000003</v>
      </c>
      <c r="AD57" s="1054">
        <v>52.743409999999997</v>
      </c>
      <c r="AE57" s="368">
        <v>25</v>
      </c>
      <c r="AF57" s="1043">
        <v>19.379840000000002</v>
      </c>
      <c r="AG57" s="990">
        <v>0</v>
      </c>
      <c r="AH57" s="990">
        <v>2</v>
      </c>
      <c r="AI57" s="990">
        <v>1</v>
      </c>
      <c r="AJ57" s="990">
        <v>3</v>
      </c>
      <c r="AK57" s="990">
        <v>2</v>
      </c>
      <c r="AL57" s="985">
        <v>1</v>
      </c>
      <c r="AM57" s="990">
        <v>34</v>
      </c>
      <c r="AN57" s="1049">
        <v>26.356590000000001</v>
      </c>
      <c r="AO57" s="722">
        <v>100</v>
      </c>
    </row>
    <row r="58" spans="1:41" ht="24.75" customHeight="1" x14ac:dyDescent="0.25">
      <c r="A58" s="878" t="s">
        <v>4263</v>
      </c>
      <c r="B58" s="973">
        <v>2295.7877400000002</v>
      </c>
      <c r="C58" s="722">
        <v>37</v>
      </c>
      <c r="D58" s="1002">
        <v>9</v>
      </c>
      <c r="E58" s="985">
        <v>24.3</v>
      </c>
      <c r="F58" s="984">
        <v>7</v>
      </c>
      <c r="G58" s="988">
        <v>18.91892</v>
      </c>
      <c r="H58" s="984">
        <v>4</v>
      </c>
      <c r="I58" s="985">
        <v>10.81081</v>
      </c>
      <c r="J58" s="984">
        <v>5</v>
      </c>
      <c r="K58" s="988">
        <v>13.51351</v>
      </c>
      <c r="L58" s="990">
        <v>0</v>
      </c>
      <c r="M58" s="990">
        <v>0</v>
      </c>
      <c r="N58" s="990">
        <v>1</v>
      </c>
      <c r="O58" s="990">
        <v>1</v>
      </c>
      <c r="P58" s="990">
        <v>0</v>
      </c>
      <c r="Q58" s="990">
        <v>0</v>
      </c>
      <c r="R58" s="990">
        <v>0</v>
      </c>
      <c r="S58" s="990">
        <v>0</v>
      </c>
      <c r="T58" s="990">
        <v>0</v>
      </c>
      <c r="U58" s="990">
        <v>0</v>
      </c>
      <c r="V58" s="990">
        <v>0</v>
      </c>
      <c r="W58" s="990">
        <v>0</v>
      </c>
      <c r="X58" s="990">
        <v>0</v>
      </c>
      <c r="Y58" s="990">
        <v>0</v>
      </c>
      <c r="Z58" s="990">
        <v>0</v>
      </c>
      <c r="AA58" s="985">
        <v>0</v>
      </c>
      <c r="AB58" s="990">
        <v>27</v>
      </c>
      <c r="AC58" s="1028">
        <v>72.972970000000004</v>
      </c>
      <c r="AD58" s="1054">
        <v>48.672969999999999</v>
      </c>
      <c r="AE58" s="368">
        <v>4</v>
      </c>
      <c r="AF58" s="1043">
        <v>10.81081</v>
      </c>
      <c r="AG58" s="990">
        <v>1</v>
      </c>
      <c r="AH58" s="990">
        <v>0</v>
      </c>
      <c r="AI58" s="990">
        <v>0</v>
      </c>
      <c r="AJ58" s="990">
        <v>4</v>
      </c>
      <c r="AK58" s="990">
        <v>1</v>
      </c>
      <c r="AL58" s="985">
        <v>0</v>
      </c>
      <c r="AM58" s="990">
        <v>10</v>
      </c>
      <c r="AN58" s="1049">
        <v>27.02703</v>
      </c>
      <c r="AO58" s="722">
        <v>100</v>
      </c>
    </row>
    <row r="59" spans="1:41" x14ac:dyDescent="0.25">
      <c r="A59" s="721" t="s">
        <v>4266</v>
      </c>
      <c r="B59" s="973">
        <v>2780.99955</v>
      </c>
      <c r="C59" s="722">
        <v>179</v>
      </c>
      <c r="D59" s="1002">
        <v>34</v>
      </c>
      <c r="E59" s="985">
        <v>19</v>
      </c>
      <c r="F59" s="984">
        <v>32</v>
      </c>
      <c r="G59" s="988">
        <v>17.877089999999999</v>
      </c>
      <c r="H59" s="984">
        <v>22</v>
      </c>
      <c r="I59" s="985">
        <v>12.2905</v>
      </c>
      <c r="J59" s="984">
        <v>19</v>
      </c>
      <c r="K59" s="988">
        <v>10.61453</v>
      </c>
      <c r="L59" s="990">
        <v>8</v>
      </c>
      <c r="M59" s="990">
        <v>7</v>
      </c>
      <c r="N59" s="990">
        <v>7</v>
      </c>
      <c r="O59" s="990">
        <v>1</v>
      </c>
      <c r="P59" s="990">
        <v>0</v>
      </c>
      <c r="Q59" s="990">
        <v>0</v>
      </c>
      <c r="R59" s="990">
        <v>0</v>
      </c>
      <c r="S59" s="990">
        <v>0</v>
      </c>
      <c r="T59" s="990">
        <v>0</v>
      </c>
      <c r="U59" s="990">
        <v>2</v>
      </c>
      <c r="V59" s="990">
        <v>0</v>
      </c>
      <c r="W59" s="990">
        <v>0</v>
      </c>
      <c r="X59" s="990">
        <v>0</v>
      </c>
      <c r="Y59" s="990">
        <v>0</v>
      </c>
      <c r="Z59" s="990">
        <v>4</v>
      </c>
      <c r="AA59" s="985">
        <v>1</v>
      </c>
      <c r="AB59" s="990">
        <v>137</v>
      </c>
      <c r="AC59" s="1028">
        <v>76.53631</v>
      </c>
      <c r="AD59" s="1054">
        <v>57.53631</v>
      </c>
      <c r="AE59" s="368">
        <v>37</v>
      </c>
      <c r="AF59" s="1043">
        <v>20.670390000000001</v>
      </c>
      <c r="AG59" s="990">
        <v>0</v>
      </c>
      <c r="AH59" s="990">
        <v>0</v>
      </c>
      <c r="AI59" s="990">
        <v>0</v>
      </c>
      <c r="AJ59" s="990">
        <v>5</v>
      </c>
      <c r="AK59" s="990">
        <v>0</v>
      </c>
      <c r="AL59" s="985">
        <v>0</v>
      </c>
      <c r="AM59" s="990">
        <v>42</v>
      </c>
      <c r="AN59" s="1049">
        <v>23.46369</v>
      </c>
      <c r="AO59" s="722">
        <v>100</v>
      </c>
    </row>
    <row r="60" spans="1:41" x14ac:dyDescent="0.25">
      <c r="A60" s="721" t="s">
        <v>4261</v>
      </c>
      <c r="B60" s="973">
        <v>2985.8378299999999</v>
      </c>
      <c r="C60" s="722">
        <v>70</v>
      </c>
      <c r="D60" s="1002">
        <v>15</v>
      </c>
      <c r="E60" s="985">
        <v>21.4</v>
      </c>
      <c r="F60" s="984">
        <v>11</v>
      </c>
      <c r="G60" s="988">
        <v>15.71429</v>
      </c>
      <c r="H60" s="984">
        <v>0</v>
      </c>
      <c r="I60" s="985">
        <v>0</v>
      </c>
      <c r="J60" s="984">
        <v>11</v>
      </c>
      <c r="K60" s="988">
        <v>15.71429</v>
      </c>
      <c r="L60" s="990">
        <v>2</v>
      </c>
      <c r="M60" s="990">
        <v>1</v>
      </c>
      <c r="N60" s="990">
        <v>1</v>
      </c>
      <c r="O60" s="990">
        <v>3</v>
      </c>
      <c r="P60" s="990">
        <v>0</v>
      </c>
      <c r="Q60" s="990">
        <v>0</v>
      </c>
      <c r="R60" s="990">
        <v>0</v>
      </c>
      <c r="S60" s="990">
        <v>0</v>
      </c>
      <c r="T60" s="990">
        <v>0</v>
      </c>
      <c r="U60" s="990">
        <v>0</v>
      </c>
      <c r="V60" s="990">
        <v>0</v>
      </c>
      <c r="W60" s="990">
        <v>0</v>
      </c>
      <c r="X60" s="990">
        <v>0</v>
      </c>
      <c r="Y60" s="990">
        <v>1</v>
      </c>
      <c r="Z60" s="990">
        <v>0</v>
      </c>
      <c r="AA60" s="985">
        <v>0</v>
      </c>
      <c r="AB60" s="990">
        <v>45</v>
      </c>
      <c r="AC60" s="1028">
        <v>64.285709999999995</v>
      </c>
      <c r="AD60" s="1054">
        <v>42.885710000000003</v>
      </c>
      <c r="AE60" s="368">
        <v>18</v>
      </c>
      <c r="AF60" s="1043">
        <v>25.714289999999998</v>
      </c>
      <c r="AG60" s="990">
        <v>0</v>
      </c>
      <c r="AH60" s="990">
        <v>0</v>
      </c>
      <c r="AI60" s="990">
        <v>0</v>
      </c>
      <c r="AJ60" s="990">
        <v>7</v>
      </c>
      <c r="AK60" s="990">
        <v>0</v>
      </c>
      <c r="AL60" s="985">
        <v>0</v>
      </c>
      <c r="AM60" s="990">
        <v>25</v>
      </c>
      <c r="AN60" s="1049">
        <v>35.714289999999998</v>
      </c>
      <c r="AO60" s="722">
        <v>100</v>
      </c>
    </row>
    <row r="61" spans="1:41" ht="24" thickBot="1" x14ac:dyDescent="0.3">
      <c r="A61" s="878" t="s">
        <v>4267</v>
      </c>
      <c r="B61" s="973">
        <v>3056.7242999999999</v>
      </c>
      <c r="C61" s="722">
        <v>133</v>
      </c>
      <c r="D61" s="975">
        <v>31</v>
      </c>
      <c r="E61" s="1004">
        <v>23.3</v>
      </c>
      <c r="F61" s="1005">
        <v>12</v>
      </c>
      <c r="G61" s="1006">
        <v>9.0225600000000004</v>
      </c>
      <c r="H61" s="1005">
        <v>6</v>
      </c>
      <c r="I61" s="1004">
        <v>4.5112800000000002</v>
      </c>
      <c r="J61" s="1005">
        <v>19</v>
      </c>
      <c r="K61" s="1006">
        <v>14.28571</v>
      </c>
      <c r="L61" s="1008">
        <v>3</v>
      </c>
      <c r="M61" s="1008">
        <v>5</v>
      </c>
      <c r="N61" s="1008">
        <v>0</v>
      </c>
      <c r="O61" s="1008">
        <v>5</v>
      </c>
      <c r="P61" s="1008">
        <v>0</v>
      </c>
      <c r="Q61" s="1008">
        <v>0</v>
      </c>
      <c r="R61" s="1008">
        <v>0</v>
      </c>
      <c r="S61" s="1008">
        <v>1</v>
      </c>
      <c r="T61" s="1008">
        <v>0</v>
      </c>
      <c r="U61" s="1008">
        <v>0</v>
      </c>
      <c r="V61" s="1008">
        <v>0</v>
      </c>
      <c r="W61" s="1008">
        <v>0</v>
      </c>
      <c r="X61" s="1008">
        <v>0</v>
      </c>
      <c r="Y61" s="1008">
        <v>0</v>
      </c>
      <c r="Z61" s="1008">
        <v>2</v>
      </c>
      <c r="AA61" s="1004">
        <v>0</v>
      </c>
      <c r="AB61" s="1008">
        <v>84</v>
      </c>
      <c r="AC61" s="1030">
        <v>63.157890000000002</v>
      </c>
      <c r="AD61" s="1055">
        <v>39.857889999999998</v>
      </c>
      <c r="AE61" s="368">
        <v>32</v>
      </c>
      <c r="AF61" s="1051">
        <v>24.06015</v>
      </c>
      <c r="AG61" s="1008">
        <v>0</v>
      </c>
      <c r="AH61" s="1008">
        <v>0</v>
      </c>
      <c r="AI61" s="1008">
        <v>1</v>
      </c>
      <c r="AJ61" s="1008">
        <v>12</v>
      </c>
      <c r="AK61" s="1008">
        <v>4</v>
      </c>
      <c r="AL61" s="1004">
        <v>0</v>
      </c>
      <c r="AM61" s="1008">
        <v>49</v>
      </c>
      <c r="AN61" s="1050">
        <v>36.842109999999998</v>
      </c>
      <c r="AO61" s="722">
        <v>100</v>
      </c>
    </row>
    <row r="62" spans="1:41" x14ac:dyDescent="0.25">
      <c r="A62" s="884" t="s">
        <v>4628</v>
      </c>
      <c r="B62" s="722"/>
      <c r="C62" s="722">
        <f>SUM(C52:C61)</f>
        <v>715</v>
      </c>
      <c r="D62" s="722"/>
      <c r="E62" s="722"/>
      <c r="F62" s="722"/>
      <c r="G62" s="722"/>
      <c r="H62" s="722"/>
      <c r="I62" s="722"/>
      <c r="J62" s="722"/>
      <c r="K62" s="722"/>
      <c r="N62" s="368"/>
      <c r="O62" s="722"/>
      <c r="P62" s="722"/>
      <c r="Q62" s="722"/>
      <c r="R62" s="722"/>
      <c r="S62" s="722"/>
      <c r="T62" s="722"/>
      <c r="U62" s="722"/>
      <c r="V62" s="722"/>
      <c r="W62" s="722"/>
      <c r="X62" s="722"/>
      <c r="Y62" s="722"/>
      <c r="Z62" s="722"/>
      <c r="AA62" s="722"/>
      <c r="AB62" s="722"/>
      <c r="AC62" s="722"/>
      <c r="AE62" s="1018" t="s">
        <v>4602</v>
      </c>
      <c r="AF62" s="1019"/>
      <c r="AH62" s="5"/>
      <c r="AJ62" s="721"/>
      <c r="AK62" s="721"/>
      <c r="AL62" s="721"/>
      <c r="AM62" s="722"/>
      <c r="AN62" s="721"/>
      <c r="AO62" s="721"/>
    </row>
    <row r="63" spans="1:41" x14ac:dyDescent="0.25">
      <c r="A63" s="721"/>
      <c r="B63" s="722"/>
      <c r="C63" s="722"/>
      <c r="D63" s="722"/>
      <c r="E63" s="722"/>
      <c r="F63" s="722"/>
      <c r="G63" s="722"/>
      <c r="H63" s="722"/>
      <c r="I63" s="722"/>
      <c r="J63" s="722"/>
      <c r="K63" s="722"/>
      <c r="N63" s="368"/>
      <c r="O63" s="722"/>
      <c r="P63" s="722"/>
      <c r="Q63" s="722"/>
      <c r="R63" s="722"/>
      <c r="S63" s="722"/>
      <c r="T63" s="722"/>
      <c r="U63" s="722"/>
      <c r="V63" s="722"/>
      <c r="W63" s="722"/>
      <c r="X63" s="722"/>
      <c r="Y63" s="722"/>
      <c r="Z63" s="722"/>
      <c r="AA63" s="722"/>
      <c r="AB63" s="722"/>
      <c r="AC63" s="722"/>
      <c r="AE63" s="1020" t="s">
        <v>4601</v>
      </c>
      <c r="AF63" s="1021"/>
      <c r="AH63" s="5"/>
      <c r="AJ63" s="721"/>
      <c r="AK63" s="721"/>
      <c r="AL63" s="721"/>
      <c r="AM63" s="722"/>
      <c r="AN63" s="721"/>
      <c r="AO63" s="721"/>
    </row>
    <row r="64" spans="1:41" ht="30.75" customHeight="1" x14ac:dyDescent="0.25">
      <c r="L64" s="232"/>
      <c r="M64" s="29"/>
    </row>
  </sheetData>
  <pageMargins left="0.31496062992125984" right="0.31496062992125984" top="0.74803149606299213" bottom="0.74803149606299213" header="0.31496062992125984" footer="0.31496062992125984"/>
  <pageSetup paperSize="9" orientation="landscape" r:id="rId1"/>
  <ignoredErrors>
    <ignoredError sqref="AE30:AE36"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workbookViewId="0">
      <selection activeCell="L8" sqref="L8"/>
    </sheetView>
  </sheetViews>
  <sheetFormatPr baseColWidth="10" defaultRowHeight="15" x14ac:dyDescent="0.25"/>
  <cols>
    <col min="1" max="1" width="29.7109375" customWidth="1"/>
    <col min="2" max="2" width="6.5703125" style="5" customWidth="1"/>
    <col min="3" max="3" width="8.28515625" style="5" customWidth="1"/>
    <col min="4" max="4" width="6.140625" style="5" customWidth="1"/>
    <col min="5" max="6" width="11.42578125" style="5"/>
    <col min="7" max="7" width="11.85546875" style="5" customWidth="1"/>
    <col min="8" max="8" width="7.140625" style="5" customWidth="1"/>
    <col min="9" max="9" width="12.42578125" style="5" customWidth="1"/>
    <col min="11" max="11" width="9.28515625" customWidth="1"/>
  </cols>
  <sheetData>
    <row r="1" spans="1:11" ht="17.25" x14ac:dyDescent="0.3">
      <c r="B1" s="1074" t="s">
        <v>4703</v>
      </c>
    </row>
    <row r="2" spans="1:11" x14ac:dyDescent="0.25">
      <c r="B2" s="884" t="s">
        <v>4691</v>
      </c>
    </row>
    <row r="3" spans="1:11" x14ac:dyDescent="0.25">
      <c r="B3" s="9" t="s">
        <v>4738</v>
      </c>
      <c r="E3"/>
      <c r="F3"/>
      <c r="G3"/>
    </row>
    <row r="4" spans="1:11" x14ac:dyDescent="0.25">
      <c r="B4" s="97" t="s">
        <v>4619</v>
      </c>
      <c r="C4" s="1071"/>
      <c r="D4" s="1071"/>
      <c r="E4" s="1071"/>
      <c r="F4" s="1071"/>
      <c r="G4" s="1071"/>
      <c r="H4" s="1071"/>
      <c r="I4" s="1071"/>
      <c r="J4" s="111"/>
      <c r="K4" s="111"/>
    </row>
    <row r="5" spans="1:11" x14ac:dyDescent="0.25">
      <c r="B5" s="1068" t="s">
        <v>4647</v>
      </c>
      <c r="C5" s="1069"/>
      <c r="D5" s="1069"/>
      <c r="E5" s="1069"/>
      <c r="F5" s="1069"/>
      <c r="G5" s="1069"/>
      <c r="H5" s="1069"/>
      <c r="I5" s="1069"/>
      <c r="J5" s="1070"/>
      <c r="K5" s="1070"/>
    </row>
    <row r="6" spans="1:11" x14ac:dyDescent="0.25">
      <c r="B6" s="9" t="s">
        <v>4739</v>
      </c>
    </row>
    <row r="7" spans="1:11" ht="15.75" thickBot="1" x14ac:dyDescent="0.3">
      <c r="B7" s="9"/>
    </row>
    <row r="8" spans="1:11" x14ac:dyDescent="0.25">
      <c r="A8" s="880"/>
      <c r="B8" s="74"/>
      <c r="C8" s="886"/>
      <c r="D8" s="1063" t="s">
        <v>4644</v>
      </c>
      <c r="E8" s="901"/>
      <c r="F8" s="74"/>
      <c r="G8" s="886"/>
      <c r="H8" s="1062" t="s">
        <v>4643</v>
      </c>
      <c r="I8" s="74"/>
      <c r="J8" s="75"/>
      <c r="K8" s="1057"/>
    </row>
    <row r="9" spans="1:11" ht="22.5" x14ac:dyDescent="0.25">
      <c r="A9" s="930" t="s">
        <v>4575</v>
      </c>
      <c r="B9" s="894" t="s">
        <v>4578</v>
      </c>
      <c r="C9" s="931" t="s">
        <v>4600</v>
      </c>
      <c r="D9" s="887" t="s">
        <v>2617</v>
      </c>
      <c r="E9" s="894" t="s">
        <v>4598</v>
      </c>
      <c r="F9" s="894" t="s">
        <v>4599</v>
      </c>
      <c r="G9" s="888" t="s">
        <v>4616</v>
      </c>
      <c r="H9" s="887" t="s">
        <v>2512</v>
      </c>
      <c r="I9" s="894" t="s">
        <v>4596</v>
      </c>
      <c r="J9" s="59"/>
      <c r="K9" s="1058"/>
    </row>
    <row r="10" spans="1:11" x14ac:dyDescent="0.25">
      <c r="A10" s="942" t="s">
        <v>4239</v>
      </c>
      <c r="B10" s="943">
        <v>158.60299000000001</v>
      </c>
      <c r="C10" s="933">
        <v>2</v>
      </c>
      <c r="D10" s="906">
        <v>0</v>
      </c>
      <c r="E10" s="898">
        <v>0</v>
      </c>
      <c r="F10" s="898">
        <v>0</v>
      </c>
      <c r="G10" s="899">
        <v>0</v>
      </c>
      <c r="H10" s="906">
        <v>0</v>
      </c>
      <c r="I10" s="902">
        <v>0</v>
      </c>
      <c r="J10" s="59"/>
      <c r="K10" s="1058"/>
    </row>
    <row r="11" spans="1:11" x14ac:dyDescent="0.25">
      <c r="A11" s="932" t="s">
        <v>4246</v>
      </c>
      <c r="B11" s="924">
        <v>507.81508000000002</v>
      </c>
      <c r="C11" s="889">
        <v>11</v>
      </c>
      <c r="D11" s="891">
        <v>6</v>
      </c>
      <c r="E11" s="904">
        <v>0.54544999999999999</v>
      </c>
      <c r="F11" s="904">
        <v>0.36364000000000002</v>
      </c>
      <c r="G11" s="905">
        <v>0.72726999999999997</v>
      </c>
      <c r="H11" s="891">
        <v>0</v>
      </c>
      <c r="I11" s="895">
        <v>0</v>
      </c>
      <c r="J11" s="59"/>
      <c r="K11" s="1058"/>
    </row>
    <row r="12" spans="1:11" x14ac:dyDescent="0.25">
      <c r="A12" s="932" t="s">
        <v>4247</v>
      </c>
      <c r="B12" s="924">
        <v>921.36878999999999</v>
      </c>
      <c r="C12" s="889">
        <v>21</v>
      </c>
      <c r="D12" s="891">
        <v>13</v>
      </c>
      <c r="E12" s="904">
        <v>0.61904999999999999</v>
      </c>
      <c r="F12" s="904">
        <v>0.47619</v>
      </c>
      <c r="G12" s="905">
        <v>0.76190999999999998</v>
      </c>
      <c r="H12" s="891">
        <v>0</v>
      </c>
      <c r="I12" s="895">
        <v>0</v>
      </c>
      <c r="J12" s="59"/>
      <c r="K12" s="1058"/>
    </row>
    <row r="13" spans="1:11" x14ac:dyDescent="0.25">
      <c r="A13" s="942" t="s">
        <v>4248</v>
      </c>
      <c r="B13" s="943">
        <v>1348.01241</v>
      </c>
      <c r="C13" s="933">
        <v>8</v>
      </c>
      <c r="D13" s="906">
        <v>5</v>
      </c>
      <c r="E13" s="898">
        <v>0.625</v>
      </c>
      <c r="F13" s="898">
        <v>0.375</v>
      </c>
      <c r="G13" s="899">
        <v>0.875</v>
      </c>
      <c r="H13" s="906">
        <v>2</v>
      </c>
      <c r="I13" s="902">
        <v>25</v>
      </c>
      <c r="J13" s="59"/>
      <c r="K13" s="1058"/>
    </row>
    <row r="14" spans="1:11" x14ac:dyDescent="0.25">
      <c r="A14" s="942" t="s">
        <v>4412</v>
      </c>
      <c r="B14" s="943">
        <v>1640.76659</v>
      </c>
      <c r="C14" s="933">
        <v>8</v>
      </c>
      <c r="D14" s="906">
        <v>6</v>
      </c>
      <c r="E14" s="898">
        <v>0.75</v>
      </c>
      <c r="F14" s="898">
        <v>0.5</v>
      </c>
      <c r="G14" s="899">
        <v>1</v>
      </c>
      <c r="H14" s="906">
        <v>0</v>
      </c>
      <c r="I14" s="902">
        <v>0</v>
      </c>
      <c r="J14" s="59"/>
      <c r="K14" s="1058"/>
    </row>
    <row r="15" spans="1:11" x14ac:dyDescent="0.25">
      <c r="A15" s="932" t="s">
        <v>4264</v>
      </c>
      <c r="B15" s="924">
        <v>1997.5042000000001</v>
      </c>
      <c r="C15" s="889">
        <v>30</v>
      </c>
      <c r="D15" s="891">
        <v>11</v>
      </c>
      <c r="E15" s="904">
        <v>0.36667</v>
      </c>
      <c r="F15" s="904">
        <v>0.26667000000000002</v>
      </c>
      <c r="G15" s="905">
        <v>0.46666999999999997</v>
      </c>
      <c r="H15" s="891">
        <v>6</v>
      </c>
      <c r="I15" s="895">
        <v>20</v>
      </c>
      <c r="J15" s="59"/>
      <c r="K15" s="1058"/>
    </row>
    <row r="16" spans="1:11" x14ac:dyDescent="0.25">
      <c r="A16" s="932" t="s">
        <v>4263</v>
      </c>
      <c r="B16" s="924">
        <v>2295.7877400000002</v>
      </c>
      <c r="C16" s="889">
        <v>10</v>
      </c>
      <c r="D16" s="891">
        <v>4</v>
      </c>
      <c r="E16" s="904">
        <v>0.4</v>
      </c>
      <c r="F16" s="904">
        <v>0.2</v>
      </c>
      <c r="G16" s="905">
        <v>0.6</v>
      </c>
      <c r="H16" s="891">
        <v>0</v>
      </c>
      <c r="I16" s="895">
        <v>0</v>
      </c>
      <c r="J16" s="59"/>
      <c r="K16" s="1058"/>
    </row>
    <row r="17" spans="1:11" x14ac:dyDescent="0.25">
      <c r="A17" s="932" t="s">
        <v>4266</v>
      </c>
      <c r="B17" s="924">
        <v>2780.99955</v>
      </c>
      <c r="C17" s="889">
        <v>41</v>
      </c>
      <c r="D17" s="891">
        <v>15</v>
      </c>
      <c r="E17" s="904">
        <v>0.36585000000000001</v>
      </c>
      <c r="F17" s="904">
        <v>0.26190999999999998</v>
      </c>
      <c r="G17" s="905">
        <v>0.45238</v>
      </c>
      <c r="H17" s="891">
        <v>0</v>
      </c>
      <c r="I17" s="895">
        <v>0</v>
      </c>
      <c r="J17" s="59"/>
      <c r="K17" s="1058"/>
    </row>
    <row r="18" spans="1:11" x14ac:dyDescent="0.25">
      <c r="A18" s="932" t="s">
        <v>4261</v>
      </c>
      <c r="B18" s="924">
        <v>2985.8378299999999</v>
      </c>
      <c r="C18" s="889">
        <v>20</v>
      </c>
      <c r="D18" s="891">
        <v>0</v>
      </c>
      <c r="E18" s="904">
        <v>0</v>
      </c>
      <c r="F18" s="904">
        <v>0</v>
      </c>
      <c r="G18" s="905">
        <v>0.08</v>
      </c>
      <c r="H18" s="891">
        <v>9</v>
      </c>
      <c r="I18" s="895">
        <v>45</v>
      </c>
      <c r="J18" s="59"/>
      <c r="K18" s="1058"/>
    </row>
    <row r="19" spans="1:11" ht="15.75" thickBot="1" x14ac:dyDescent="0.3">
      <c r="A19" s="934" t="s">
        <v>4267</v>
      </c>
      <c r="B19" s="935">
        <v>3056.7242999999999</v>
      </c>
      <c r="C19" s="890">
        <v>43</v>
      </c>
      <c r="D19" s="892">
        <v>16</v>
      </c>
      <c r="E19" s="927">
        <v>0.37208999999999998</v>
      </c>
      <c r="F19" s="927">
        <v>0.27906999999999998</v>
      </c>
      <c r="G19" s="928">
        <v>0.46511999999999998</v>
      </c>
      <c r="H19" s="892">
        <v>10</v>
      </c>
      <c r="I19" s="1056">
        <v>23.25581</v>
      </c>
      <c r="J19" s="1059"/>
      <c r="K19" s="1060"/>
    </row>
    <row r="20" spans="1:11" ht="15.75" thickBot="1" x14ac:dyDescent="0.3">
      <c r="B20" s="879"/>
      <c r="J20" s="59"/>
    </row>
    <row r="21" spans="1:11" x14ac:dyDescent="0.25">
      <c r="A21" s="880"/>
      <c r="B21" s="73"/>
      <c r="C21" s="886"/>
      <c r="D21" s="885"/>
      <c r="E21" s="901"/>
      <c r="F21" s="939" t="s">
        <v>4617</v>
      </c>
      <c r="G21" s="886"/>
      <c r="H21" s="882"/>
      <c r="I21" s="939" t="s">
        <v>4618</v>
      </c>
      <c r="J21" s="75"/>
      <c r="K21" s="1057"/>
    </row>
    <row r="22" spans="1:11" ht="22.5" x14ac:dyDescent="0.25">
      <c r="A22" s="930" t="s">
        <v>4597</v>
      </c>
      <c r="B22" s="936" t="s">
        <v>4578</v>
      </c>
      <c r="C22" s="931" t="s">
        <v>4600</v>
      </c>
      <c r="D22" s="887" t="s">
        <v>2617</v>
      </c>
      <c r="E22" s="894" t="s">
        <v>4595</v>
      </c>
      <c r="F22" s="894"/>
      <c r="G22" s="888"/>
      <c r="H22" s="887" t="s">
        <v>2512</v>
      </c>
      <c r="I22" s="894" t="s">
        <v>4596</v>
      </c>
      <c r="J22" s="59"/>
      <c r="K22" s="1058"/>
    </row>
    <row r="23" spans="1:11" x14ac:dyDescent="0.25">
      <c r="A23" s="942" t="s">
        <v>4239</v>
      </c>
      <c r="B23" s="943">
        <v>158.60299000000001</v>
      </c>
      <c r="C23" s="933">
        <v>2</v>
      </c>
      <c r="D23" s="906">
        <v>0</v>
      </c>
      <c r="E23" s="898">
        <f>D23/C23</f>
        <v>0</v>
      </c>
      <c r="F23" s="902"/>
      <c r="G23" s="900"/>
      <c r="H23" s="906">
        <v>0</v>
      </c>
      <c r="I23" s="902">
        <v>0</v>
      </c>
      <c r="J23" s="59"/>
      <c r="K23" s="1058"/>
    </row>
    <row r="24" spans="1:11" x14ac:dyDescent="0.25">
      <c r="A24" s="942" t="s">
        <v>4280</v>
      </c>
      <c r="B24" s="943">
        <v>1902</v>
      </c>
      <c r="C24" s="933">
        <v>1</v>
      </c>
      <c r="D24" s="906">
        <v>1</v>
      </c>
      <c r="E24" s="898">
        <f t="shared" ref="E24:E29" si="0">D24/C24</f>
        <v>1</v>
      </c>
      <c r="F24" s="902"/>
      <c r="G24" s="900"/>
      <c r="H24" s="906">
        <v>0</v>
      </c>
      <c r="I24" s="902">
        <v>0</v>
      </c>
      <c r="J24" s="59"/>
      <c r="K24" s="1058"/>
    </row>
    <row r="25" spans="1:11" x14ac:dyDescent="0.25">
      <c r="A25" s="942" t="s">
        <v>4278</v>
      </c>
      <c r="B25" s="943">
        <v>2759</v>
      </c>
      <c r="C25" s="933">
        <v>6</v>
      </c>
      <c r="D25" s="906">
        <v>1</v>
      </c>
      <c r="E25" s="898">
        <f t="shared" si="0"/>
        <v>0.16666666666666666</v>
      </c>
      <c r="F25" s="902"/>
      <c r="G25" s="900"/>
      <c r="H25" s="906">
        <v>0</v>
      </c>
      <c r="I25" s="902">
        <v>0</v>
      </c>
      <c r="J25" s="59"/>
      <c r="K25" s="1058"/>
    </row>
    <row r="26" spans="1:11" x14ac:dyDescent="0.25">
      <c r="A26" s="942" t="s">
        <v>4279</v>
      </c>
      <c r="B26" s="943">
        <v>3313</v>
      </c>
      <c r="C26" s="933">
        <v>8</v>
      </c>
      <c r="D26" s="906">
        <v>1</v>
      </c>
      <c r="E26" s="898">
        <f t="shared" si="0"/>
        <v>0.125</v>
      </c>
      <c r="F26" s="902"/>
      <c r="G26" s="900"/>
      <c r="H26" s="906">
        <v>0</v>
      </c>
      <c r="I26" s="902">
        <v>0</v>
      </c>
      <c r="J26" s="59"/>
      <c r="K26" s="1058"/>
    </row>
    <row r="27" spans="1:11" x14ac:dyDescent="0.25">
      <c r="A27" s="932" t="s">
        <v>4275</v>
      </c>
      <c r="B27" s="924">
        <v>4298</v>
      </c>
      <c r="C27" s="889">
        <v>26</v>
      </c>
      <c r="D27" s="891">
        <v>1</v>
      </c>
      <c r="E27" s="840">
        <f t="shared" si="0"/>
        <v>3.8461538461538464E-2</v>
      </c>
      <c r="F27" s="895"/>
      <c r="G27" s="893"/>
      <c r="H27" s="891">
        <v>17</v>
      </c>
      <c r="I27" s="895">
        <v>65.384619999999998</v>
      </c>
      <c r="J27" s="59"/>
      <c r="K27" s="1058"/>
    </row>
    <row r="28" spans="1:11" x14ac:dyDescent="0.25">
      <c r="A28" s="932" t="s">
        <v>4276</v>
      </c>
      <c r="B28" s="924">
        <v>4806</v>
      </c>
      <c r="C28" s="889">
        <v>16</v>
      </c>
      <c r="D28" s="891">
        <v>8</v>
      </c>
      <c r="E28" s="840">
        <f t="shared" si="0"/>
        <v>0.5</v>
      </c>
      <c r="F28" s="895"/>
      <c r="G28" s="893"/>
      <c r="H28" s="891">
        <v>3</v>
      </c>
      <c r="I28" s="895">
        <v>18.75</v>
      </c>
      <c r="J28" s="59"/>
      <c r="K28" s="1058"/>
    </row>
    <row r="29" spans="1:11" ht="15.75" thickBot="1" x14ac:dyDescent="0.3">
      <c r="A29" s="944" t="s">
        <v>4277</v>
      </c>
      <c r="B29" s="945">
        <v>6219</v>
      </c>
      <c r="C29" s="937">
        <v>2</v>
      </c>
      <c r="D29" s="907">
        <v>0</v>
      </c>
      <c r="E29" s="941">
        <f t="shared" si="0"/>
        <v>0</v>
      </c>
      <c r="F29" s="925"/>
      <c r="G29" s="903"/>
      <c r="H29" s="907">
        <v>2</v>
      </c>
      <c r="I29" s="925">
        <v>100</v>
      </c>
      <c r="J29" s="1059"/>
      <c r="K29" s="1060"/>
    </row>
    <row r="30" spans="1:11" ht="15.75" thickBot="1" x14ac:dyDescent="0.3">
      <c r="D30" s="924"/>
      <c r="E30" s="896"/>
      <c r="F30" s="896"/>
      <c r="G30" s="896"/>
      <c r="H30" s="924"/>
      <c r="I30" s="896"/>
      <c r="J30" s="59"/>
    </row>
    <row r="31" spans="1:11" x14ac:dyDescent="0.25">
      <c r="A31" s="929" t="s">
        <v>4615</v>
      </c>
      <c r="B31" s="74"/>
      <c r="C31" s="74">
        <v>82</v>
      </c>
      <c r="D31" s="908">
        <v>0</v>
      </c>
      <c r="E31" s="940">
        <v>0</v>
      </c>
      <c r="F31" s="74"/>
      <c r="G31" s="886"/>
      <c r="H31" s="908">
        <v>22</v>
      </c>
      <c r="I31" s="940">
        <f>22/82</f>
        <v>0.26829268292682928</v>
      </c>
      <c r="J31" s="75"/>
      <c r="K31" s="1057"/>
    </row>
    <row r="32" spans="1:11" ht="15.75" thickBot="1" x14ac:dyDescent="0.3">
      <c r="A32" s="926"/>
      <c r="B32" s="897"/>
      <c r="C32" s="897"/>
      <c r="D32" s="938" t="s">
        <v>4645</v>
      </c>
      <c r="E32" s="897"/>
      <c r="F32" s="897"/>
      <c r="G32" s="890"/>
      <c r="H32" s="1061" t="s">
        <v>4646</v>
      </c>
      <c r="I32" s="897"/>
      <c r="J32" s="1059"/>
      <c r="K32" s="1060"/>
    </row>
  </sheetData>
  <pageMargins left="0.31496062992125984" right="0.31496062992125984" top="0.35433070866141736" bottom="0.35433070866141736"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Supp. Data 1</vt:lpstr>
      <vt:lpstr> Refs. in Supp. Data 1</vt:lpstr>
      <vt:lpstr>Supp. Data 2</vt:lpstr>
      <vt:lpstr>Calculations of Supp. Data 2</vt:lpstr>
      <vt:lpstr>Supp. Data 3</vt:lpstr>
      <vt:lpstr>Supp. Data 4</vt:lpstr>
      <vt:lpstr>Calculations of Supp. Data 4</vt:lpstr>
      <vt:lpstr>Supp. Data 5</vt:lpstr>
      <vt:lpstr>Refs. in Supp. Data 5</vt:lpstr>
      <vt:lpstr>Supp. Data 6</vt:lpstr>
      <vt:lpstr>Supp. Data 7</vt:lpstr>
      <vt:lpstr>Supp. Data 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fisica</dc:creator>
  <cp:lastModifiedBy>Joaquim Fort</cp:lastModifiedBy>
  <cp:lastPrinted>2024-08-01T18:12:57Z</cp:lastPrinted>
  <dcterms:created xsi:type="dcterms:W3CDTF">2016-06-25T15:26:47Z</dcterms:created>
  <dcterms:modified xsi:type="dcterms:W3CDTF">2024-08-01T18:13:12Z</dcterms:modified>
</cp:coreProperties>
</file>